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krebsk\AppData\Local\Temp\9\SWA671a13830\"/>
    </mc:Choice>
  </mc:AlternateContent>
  <xr:revisionPtr revIDLastSave="0" documentId="13_ncr:1_{6FC90D9A-F76A-4544-B741-A637587777C4}" xr6:coauthVersionLast="36" xr6:coauthVersionMax="36" xr10:uidLastSave="{00000000-0000-0000-0000-000000000000}"/>
  <bookViews>
    <workbookView xWindow="120" yWindow="135" windowWidth="24915" windowHeight="12090" firstSheet="1" activeTab="1" xr2:uid="{00000000-000D-0000-FFFF-FFFF00000000}"/>
  </bookViews>
  <sheets>
    <sheet name="prosozial" sheetId="2" state="hidden" r:id="rId1"/>
    <sheet name="Tabelle1" sheetId="1" r:id="rId2"/>
  </sheets>
  <definedNames>
    <definedName name="_xlnm.Print_Area" localSheetId="1">Tabelle1!$A$1:$I$500</definedName>
  </definedNames>
  <calcPr calcId="191029"/>
</workbook>
</file>

<file path=xl/calcChain.xml><?xml version="1.0" encoding="utf-8"?>
<calcChain xmlns="http://schemas.openxmlformats.org/spreadsheetml/2006/main">
  <c r="I499" i="1" l="1"/>
  <c r="I498" i="1"/>
  <c r="C498" i="1"/>
  <c r="A496" i="1"/>
  <c r="I491" i="1"/>
  <c r="G491" i="1"/>
  <c r="A493" i="1" s="1"/>
  <c r="A487" i="1"/>
  <c r="I484" i="1"/>
  <c r="C484" i="1"/>
  <c r="A482" i="1"/>
  <c r="I477" i="1"/>
  <c r="G477" i="1"/>
  <c r="A479" i="1" s="1"/>
  <c r="A473" i="1"/>
  <c r="I470" i="1"/>
  <c r="C470" i="1"/>
  <c r="A468" i="1"/>
  <c r="I463" i="1"/>
  <c r="G463" i="1"/>
  <c r="A465" i="1" s="1"/>
  <c r="A459" i="1"/>
  <c r="I456" i="1"/>
  <c r="C456" i="1"/>
  <c r="A456" i="1"/>
  <c r="A454" i="1"/>
  <c r="I449" i="1"/>
  <c r="G449" i="1"/>
  <c r="A451" i="1" s="1"/>
  <c r="A445" i="1"/>
  <c r="I442" i="1"/>
  <c r="C442" i="1"/>
  <c r="A440" i="1"/>
  <c r="I435" i="1"/>
  <c r="G435" i="1"/>
  <c r="A437" i="1" s="1"/>
  <c r="A431" i="1"/>
  <c r="I428" i="1"/>
  <c r="C428" i="1"/>
  <c r="A426" i="1"/>
  <c r="I421" i="1"/>
  <c r="G421" i="1"/>
  <c r="A423" i="1" s="1"/>
  <c r="A417" i="1"/>
  <c r="I414" i="1"/>
  <c r="C414" i="1"/>
  <c r="A412" i="1"/>
  <c r="I407" i="1"/>
  <c r="G407" i="1"/>
  <c r="A409" i="1" s="1"/>
  <c r="A403" i="1"/>
  <c r="I400" i="1"/>
  <c r="C400" i="1"/>
  <c r="A398" i="1"/>
  <c r="I393" i="1"/>
  <c r="G393" i="1"/>
  <c r="A395" i="1" s="1"/>
  <c r="A389" i="1"/>
  <c r="I386" i="1"/>
  <c r="C386" i="1"/>
  <c r="A384" i="1"/>
  <c r="I379" i="1"/>
  <c r="G379" i="1"/>
  <c r="A381" i="1" s="1"/>
  <c r="A375" i="1"/>
  <c r="I372" i="1"/>
  <c r="C372" i="1"/>
  <c r="A370" i="1"/>
  <c r="I365" i="1"/>
  <c r="G365" i="1"/>
  <c r="A367" i="1" s="1"/>
  <c r="A361" i="1"/>
  <c r="I358" i="1"/>
  <c r="C358" i="1"/>
  <c r="A356" i="1"/>
  <c r="I351" i="1"/>
  <c r="G351" i="1"/>
  <c r="A353" i="1" s="1"/>
  <c r="A347" i="1"/>
  <c r="I344" i="1"/>
  <c r="C344" i="1"/>
  <c r="A342" i="1"/>
  <c r="I337" i="1"/>
  <c r="G337" i="1"/>
  <c r="A339" i="1" s="1"/>
  <c r="A340" i="1" s="1"/>
  <c r="A333" i="1"/>
  <c r="I330" i="1"/>
  <c r="C330" i="1"/>
  <c r="A328" i="1"/>
  <c r="I323" i="1"/>
  <c r="G323" i="1"/>
  <c r="A325" i="1" s="1"/>
  <c r="A319" i="1"/>
  <c r="I316" i="1"/>
  <c r="C316" i="1"/>
  <c r="A314" i="1"/>
  <c r="I309" i="1"/>
  <c r="G309" i="1"/>
  <c r="A311" i="1" s="1"/>
  <c r="A305" i="1"/>
  <c r="I302" i="1"/>
  <c r="C302" i="1"/>
  <c r="A300" i="1"/>
  <c r="I295" i="1"/>
  <c r="G295" i="1"/>
  <c r="A297" i="1" s="1"/>
  <c r="A291" i="1"/>
  <c r="I288" i="1"/>
  <c r="C288" i="1"/>
  <c r="A286" i="1"/>
  <c r="I281" i="1"/>
  <c r="G281" i="1"/>
  <c r="A283" i="1" s="1"/>
  <c r="A277" i="1"/>
  <c r="I274" i="1"/>
  <c r="C274" i="1"/>
  <c r="A272" i="1"/>
  <c r="I267" i="1"/>
  <c r="G267" i="1"/>
  <c r="A269" i="1" s="1"/>
  <c r="A263" i="1"/>
  <c r="I260" i="1"/>
  <c r="C260" i="1"/>
  <c r="A258" i="1"/>
  <c r="I253" i="1"/>
  <c r="G253" i="1"/>
  <c r="A255" i="1" s="1"/>
  <c r="A261" i="1" s="1"/>
  <c r="A249" i="1"/>
  <c r="I246" i="1"/>
  <c r="C246" i="1"/>
  <c r="A244" i="1"/>
  <c r="I239" i="1"/>
  <c r="G239" i="1"/>
  <c r="A241" i="1" s="1"/>
  <c r="A235" i="1"/>
  <c r="I232" i="1"/>
  <c r="C232" i="1"/>
  <c r="A230" i="1"/>
  <c r="I225" i="1"/>
  <c r="G225" i="1"/>
  <c r="A227" i="1" s="1"/>
  <c r="A221" i="1"/>
  <c r="I218" i="1"/>
  <c r="C218" i="1"/>
  <c r="A216" i="1"/>
  <c r="I211" i="1"/>
  <c r="G211" i="1"/>
  <c r="A213" i="1" s="1"/>
  <c r="A207" i="1"/>
  <c r="I204" i="1"/>
  <c r="C204" i="1"/>
  <c r="A202" i="1"/>
  <c r="A199" i="1"/>
  <c r="I197" i="1"/>
  <c r="G197" i="1"/>
  <c r="A193" i="1"/>
  <c r="I190" i="1"/>
  <c r="C190" i="1"/>
  <c r="A188" i="1"/>
  <c r="I183" i="1"/>
  <c r="G183" i="1"/>
  <c r="A185" i="1" s="1"/>
  <c r="A179" i="1"/>
  <c r="A453" i="1" l="1"/>
  <c r="A455" i="1" s="1"/>
  <c r="A452" i="1"/>
  <c r="A498" i="1"/>
  <c r="A494" i="1"/>
  <c r="A495" i="1" s="1"/>
  <c r="A497" i="1" s="1"/>
  <c r="A499" i="1"/>
  <c r="A480" i="1"/>
  <c r="A481" i="1" s="1"/>
  <c r="A483" i="1" s="1"/>
  <c r="A485" i="1"/>
  <c r="A484" i="1"/>
  <c r="A470" i="1"/>
  <c r="A471" i="1"/>
  <c r="A466" i="1"/>
  <c r="A467" i="1" s="1"/>
  <c r="A469" i="1" s="1"/>
  <c r="A457" i="1"/>
  <c r="A442" i="1"/>
  <c r="A438" i="1"/>
  <c r="A439" i="1" s="1"/>
  <c r="A441" i="1" s="1"/>
  <c r="A443" i="1"/>
  <c r="A424" i="1"/>
  <c r="A425" i="1" s="1"/>
  <c r="A427" i="1" s="1"/>
  <c r="A428" i="1"/>
  <c r="A429" i="1"/>
  <c r="A415" i="1"/>
  <c r="A410" i="1"/>
  <c r="A411" i="1" s="1"/>
  <c r="A413" i="1" s="1"/>
  <c r="A414" i="1"/>
  <c r="A397" i="1"/>
  <c r="A399" i="1" s="1"/>
  <c r="A400" i="1"/>
  <c r="A396" i="1"/>
  <c r="A401" i="1"/>
  <c r="A386" i="1"/>
  <c r="A382" i="1"/>
  <c r="A387" i="1"/>
  <c r="A383" i="1"/>
  <c r="A385" i="1" s="1"/>
  <c r="A372" i="1"/>
  <c r="A368" i="1"/>
  <c r="A369" i="1" s="1"/>
  <c r="A371" i="1" s="1"/>
  <c r="A373" i="1"/>
  <c r="A354" i="1"/>
  <c r="A355" i="1" s="1"/>
  <c r="A357" i="1" s="1"/>
  <c r="A358" i="1" s="1"/>
  <c r="A359" i="1" s="1"/>
  <c r="A345" i="1"/>
  <c r="A344" i="1"/>
  <c r="A341" i="1"/>
  <c r="A343" i="1" s="1"/>
  <c r="A326" i="1"/>
  <c r="A327" i="1" s="1"/>
  <c r="A329" i="1" s="1"/>
  <c r="A331" i="1"/>
  <c r="A330" i="1"/>
  <c r="A316" i="1"/>
  <c r="A312" i="1"/>
  <c r="A313" i="1" s="1"/>
  <c r="A315" i="1" s="1"/>
  <c r="A317" i="1"/>
  <c r="A303" i="1"/>
  <c r="A298" i="1"/>
  <c r="A299" i="1" s="1"/>
  <c r="A301" i="1" s="1"/>
  <c r="A302" i="1"/>
  <c r="A288" i="1"/>
  <c r="A284" i="1"/>
  <c r="A285" i="1" s="1"/>
  <c r="A287" i="1" s="1"/>
  <c r="A289" i="1"/>
  <c r="A274" i="1"/>
  <c r="A270" i="1"/>
  <c r="A271" i="1" s="1"/>
  <c r="A273" i="1" s="1"/>
  <c r="A275" i="1"/>
  <c r="G261" i="1"/>
  <c r="C261" i="1"/>
  <c r="A256" i="1"/>
  <c r="A257" i="1" s="1"/>
  <c r="A259" i="1" s="1"/>
  <c r="A260" i="1"/>
  <c r="A246" i="1"/>
  <c r="A242" i="1"/>
  <c r="A243" i="1" s="1"/>
  <c r="A245" i="1" s="1"/>
  <c r="A247" i="1"/>
  <c r="A228" i="1"/>
  <c r="A229" i="1" s="1"/>
  <c r="A231" i="1" s="1"/>
  <c r="A232" i="1"/>
  <c r="A233" i="1"/>
  <c r="A218" i="1"/>
  <c r="A214" i="1"/>
  <c r="A215" i="1" s="1"/>
  <c r="A217" i="1" s="1"/>
  <c r="A219" i="1"/>
  <c r="A205" i="1"/>
  <c r="A200" i="1"/>
  <c r="A201" i="1" s="1"/>
  <c r="A203" i="1" s="1"/>
  <c r="A204" i="1"/>
  <c r="A186" i="1"/>
  <c r="A187" i="1" s="1"/>
  <c r="A189" i="1" s="1"/>
  <c r="A190" i="1" s="1"/>
  <c r="A191" i="1" s="1"/>
  <c r="C176" i="1"/>
  <c r="I176" i="1"/>
  <c r="A174" i="1"/>
  <c r="I169" i="1"/>
  <c r="G169" i="1"/>
  <c r="A171" i="1" s="1"/>
  <c r="A165" i="1"/>
  <c r="I162" i="1"/>
  <c r="A153" i="1"/>
  <c r="G499" i="1" l="1"/>
  <c r="C499" i="1"/>
  <c r="C485" i="1"/>
  <c r="G485" i="1"/>
  <c r="G471" i="1"/>
  <c r="C471" i="1"/>
  <c r="G457" i="1"/>
  <c r="C457" i="1"/>
  <c r="G443" i="1"/>
  <c r="C443" i="1"/>
  <c r="G429" i="1"/>
  <c r="C429" i="1"/>
  <c r="G415" i="1"/>
  <c r="C415" i="1"/>
  <c r="G401" i="1"/>
  <c r="C401" i="1"/>
  <c r="C387" i="1"/>
  <c r="G387" i="1"/>
  <c r="G373" i="1"/>
  <c r="C373" i="1"/>
  <c r="G359" i="1"/>
  <c r="C359" i="1"/>
  <c r="C345" i="1"/>
  <c r="G345" i="1"/>
  <c r="C331" i="1"/>
  <c r="G331" i="1"/>
  <c r="G317" i="1"/>
  <c r="C317" i="1"/>
  <c r="G303" i="1"/>
  <c r="C303" i="1"/>
  <c r="G289" i="1"/>
  <c r="C289" i="1"/>
  <c r="G275" i="1"/>
  <c r="C275" i="1"/>
  <c r="G247" i="1"/>
  <c r="C247" i="1"/>
  <c r="G233" i="1"/>
  <c r="C233" i="1"/>
  <c r="G219" i="1"/>
  <c r="C219" i="1"/>
  <c r="C205" i="1"/>
  <c r="G205" i="1"/>
  <c r="G191" i="1"/>
  <c r="C191" i="1"/>
  <c r="A172" i="1"/>
  <c r="A173" i="1" s="1"/>
  <c r="G14" i="1"/>
  <c r="I14" i="1"/>
  <c r="E22" i="1"/>
  <c r="G22" i="1" s="1"/>
  <c r="A175" i="1" l="1"/>
  <c r="A176" i="1" s="1"/>
  <c r="A177" i="1" s="1"/>
  <c r="C177" i="1" s="1"/>
  <c r="E34" i="1"/>
  <c r="G177" i="1" l="1"/>
  <c r="G34" i="1"/>
  <c r="E46" i="1"/>
  <c r="G46" i="1" l="1"/>
  <c r="E58" i="1"/>
  <c r="G58" i="1" l="1"/>
  <c r="E70" i="1"/>
  <c r="E82" i="1" l="1"/>
  <c r="G70" i="1"/>
  <c r="G82" i="1" l="1"/>
  <c r="E94" i="1"/>
  <c r="E106" i="1" l="1"/>
  <c r="G94" i="1"/>
  <c r="G106" i="1" l="1"/>
  <c r="E118" i="1"/>
  <c r="E130" i="1" l="1"/>
  <c r="G118" i="1"/>
  <c r="G130" i="1" l="1"/>
  <c r="E142" i="1"/>
  <c r="E154" i="1" l="1"/>
  <c r="E166" i="1" s="1"/>
  <c r="E180" i="1" s="1"/>
  <c r="G142" i="1"/>
  <c r="G180" i="1" l="1"/>
  <c r="E194" i="1"/>
  <c r="G154" i="1"/>
  <c r="G166" i="1"/>
  <c r="G194" i="1" l="1"/>
  <c r="E208" i="1"/>
  <c r="I157" i="1"/>
  <c r="A162" i="1"/>
  <c r="G157" i="1"/>
  <c r="A159" i="1" s="1"/>
  <c r="I145" i="1"/>
  <c r="A150" i="1"/>
  <c r="G145" i="1"/>
  <c r="A147" i="1" s="1"/>
  <c r="I133" i="1"/>
  <c r="A138" i="1"/>
  <c r="G133" i="1"/>
  <c r="A135" i="1" s="1"/>
  <c r="I121" i="1"/>
  <c r="A126" i="1"/>
  <c r="G121" i="1"/>
  <c r="A123" i="1" s="1"/>
  <c r="I25" i="1"/>
  <c r="I31" i="1" s="1"/>
  <c r="I37" i="1"/>
  <c r="I485" i="1" s="1"/>
  <c r="I49" i="1"/>
  <c r="I61" i="1"/>
  <c r="I73" i="1"/>
  <c r="I85" i="1"/>
  <c r="I97" i="1"/>
  <c r="I109" i="1"/>
  <c r="A114" i="1"/>
  <c r="G109" i="1"/>
  <c r="A111" i="1" s="1"/>
  <c r="A102" i="1"/>
  <c r="G97" i="1"/>
  <c r="A99" i="1" s="1"/>
  <c r="A90" i="1"/>
  <c r="G85" i="1"/>
  <c r="A87" i="1" s="1"/>
  <c r="A78" i="1"/>
  <c r="G73" i="1"/>
  <c r="A75" i="1" s="1"/>
  <c r="A66" i="1"/>
  <c r="G61" i="1"/>
  <c r="A63" i="1" s="1"/>
  <c r="A54" i="1"/>
  <c r="G49" i="1"/>
  <c r="A51" i="1" s="1"/>
  <c r="A42" i="1"/>
  <c r="G37" i="1"/>
  <c r="A39" i="1" s="1"/>
  <c r="A30" i="1"/>
  <c r="G25" i="1"/>
  <c r="A27" i="1" s="1"/>
  <c r="E222" i="1" l="1"/>
  <c r="G208" i="1"/>
  <c r="I457" i="1"/>
  <c r="I471" i="1"/>
  <c r="I303" i="1"/>
  <c r="I359" i="1"/>
  <c r="I415" i="1"/>
  <c r="I247" i="1"/>
  <c r="I191" i="1"/>
  <c r="I317" i="1"/>
  <c r="I373" i="1"/>
  <c r="I429" i="1"/>
  <c r="I233" i="1"/>
  <c r="I331" i="1"/>
  <c r="I387" i="1"/>
  <c r="I443" i="1"/>
  <c r="I275" i="1"/>
  <c r="I219" i="1"/>
  <c r="I289" i="1"/>
  <c r="I345" i="1"/>
  <c r="I401" i="1"/>
  <c r="I261" i="1"/>
  <c r="I205" i="1"/>
  <c r="I163" i="1"/>
  <c r="I177" i="1"/>
  <c r="I115" i="1"/>
  <c r="I127" i="1"/>
  <c r="I139" i="1"/>
  <c r="I151" i="1"/>
  <c r="I55" i="1"/>
  <c r="I67" i="1"/>
  <c r="I91" i="1"/>
  <c r="I103" i="1"/>
  <c r="I79" i="1"/>
  <c r="I43" i="1"/>
  <c r="A160" i="1"/>
  <c r="A161" i="1" s="1"/>
  <c r="A163" i="1" s="1"/>
  <c r="A148" i="1"/>
  <c r="A149" i="1" s="1"/>
  <c r="A151" i="1" s="1"/>
  <c r="A136" i="1"/>
  <c r="A137" i="1" s="1"/>
  <c r="A139" i="1" s="1"/>
  <c r="A124" i="1"/>
  <c r="A125" i="1" s="1"/>
  <c r="A127" i="1" s="1"/>
  <c r="A112" i="1"/>
  <c r="A113" i="1" s="1"/>
  <c r="A115" i="1" s="1"/>
  <c r="A100" i="1"/>
  <c r="A101" i="1" s="1"/>
  <c r="A103" i="1" s="1"/>
  <c r="A88" i="1"/>
  <c r="A89" i="1" s="1"/>
  <c r="A91" i="1" s="1"/>
  <c r="A76" i="1"/>
  <c r="A77" i="1" s="1"/>
  <c r="A64" i="1"/>
  <c r="A65" i="1" s="1"/>
  <c r="A52" i="1"/>
  <c r="A53" i="1" s="1"/>
  <c r="A40" i="1"/>
  <c r="A41" i="1" s="1"/>
  <c r="A28" i="1"/>
  <c r="A29" i="1" s="1"/>
  <c r="A31" i="1" s="1"/>
  <c r="C31" i="1" s="1"/>
  <c r="C16" i="1" l="1"/>
  <c r="E236" i="1"/>
  <c r="G222" i="1"/>
  <c r="G103" i="1"/>
  <c r="C103" i="1"/>
  <c r="G151" i="1"/>
  <c r="C151" i="1"/>
  <c r="G91" i="1"/>
  <c r="C91" i="1"/>
  <c r="G115" i="1"/>
  <c r="C115" i="1"/>
  <c r="C127" i="1"/>
  <c r="G127" i="1"/>
  <c r="G139" i="1"/>
  <c r="C139" i="1"/>
  <c r="G163" i="1"/>
  <c r="C163" i="1"/>
  <c r="G31" i="1"/>
  <c r="A43" i="1"/>
  <c r="A55" i="1"/>
  <c r="A67" i="1"/>
  <c r="A79" i="1"/>
  <c r="G236" i="1" l="1"/>
  <c r="E250" i="1"/>
  <c r="G79" i="1"/>
  <c r="C79" i="1"/>
  <c r="G43" i="1"/>
  <c r="C43" i="1"/>
  <c r="G67" i="1"/>
  <c r="C67" i="1"/>
  <c r="G55" i="1"/>
  <c r="C55" i="1"/>
  <c r="G250" i="1" l="1"/>
  <c r="E264" i="1"/>
  <c r="C14" i="1"/>
  <c r="A18" i="1" s="1"/>
  <c r="E278" i="1" l="1"/>
  <c r="G264" i="1"/>
  <c r="C18" i="1"/>
  <c r="E292" i="1" l="1"/>
  <c r="G278" i="1"/>
  <c r="G292" i="1" l="1"/>
  <c r="E306" i="1"/>
  <c r="E320" i="1" l="1"/>
  <c r="G306" i="1"/>
  <c r="E334" i="1" l="1"/>
  <c r="G320" i="1"/>
  <c r="G334" i="1" l="1"/>
  <c r="E348" i="1"/>
  <c r="G348" i="1" l="1"/>
  <c r="E362" i="1"/>
  <c r="G362" i="1" l="1"/>
  <c r="E376" i="1"/>
  <c r="G376" i="1" l="1"/>
  <c r="E390" i="1"/>
  <c r="G390" i="1" l="1"/>
  <c r="E404" i="1"/>
  <c r="G404" i="1" l="1"/>
  <c r="E418" i="1"/>
  <c r="G418" i="1" l="1"/>
  <c r="E432" i="1"/>
  <c r="E446" i="1" l="1"/>
  <c r="G432" i="1"/>
  <c r="G446" i="1" l="1"/>
  <c r="E460" i="1"/>
  <c r="G460" i="1" l="1"/>
  <c r="E474" i="1"/>
  <c r="G474" i="1" l="1"/>
  <c r="E488" i="1"/>
  <c r="G488" i="1" s="1"/>
</calcChain>
</file>

<file path=xl/sharedStrings.xml><?xml version="1.0" encoding="utf-8"?>
<sst xmlns="http://schemas.openxmlformats.org/spreadsheetml/2006/main" count="937" uniqueCount="249">
  <si>
    <t>Name, Vorname:</t>
  </si>
  <si>
    <t>Geburtsdatum:</t>
  </si>
  <si>
    <t>Adresse:</t>
  </si>
  <si>
    <t>Arbeitgeber:</t>
  </si>
  <si>
    <t xml:space="preserve"> Prozent</t>
  </si>
  <si>
    <t>Monate</t>
  </si>
  <si>
    <t>bis</t>
  </si>
  <si>
    <t>€ pro Monat</t>
  </si>
  <si>
    <t>letzte_aenderung_am</t>
  </si>
  <si>
    <t>yyyy-mm-dd hh:nn</t>
  </si>
  <si>
    <t>ganztaegig</t>
  </si>
  <si>
    <t>Privat</t>
  </si>
  <si>
    <t>Alle lesen</t>
  </si>
  <si>
    <t>Kunde</t>
  </si>
  <si>
    <t>Ap</t>
  </si>
  <si>
    <t xml:space="preserve"> </t>
  </si>
  <si>
    <t>Bemerkung</t>
  </si>
  <si>
    <t>Beteiligte</t>
  </si>
  <si>
    <t>Arbeitsbereich</t>
  </si>
  <si>
    <t>Status</t>
  </si>
  <si>
    <t>Terminplanung</t>
  </si>
  <si>
    <t>Tln_fuer_GrpTermin_hinzufuegen</t>
  </si>
  <si>
    <t>Stralucke, Carsten</t>
  </si>
  <si>
    <t>Alle_Mitglieder_der_Zust_alsTeilnehmer_hinzufuegen</t>
  </si>
  <si>
    <t>&gt;</t>
  </si>
  <si>
    <t>externe_Teilnehmer_fuer_Grp-Termin_hinzufuegen</t>
  </si>
  <si>
    <t>Personen_mit_einer_WV_zu_einem_Hilfeplangespraech</t>
  </si>
  <si>
    <t>ab</t>
  </si>
  <si>
    <t>yyyy-mm-dd</t>
  </si>
  <si>
    <t>Kurzbeschreibung</t>
  </si>
  <si>
    <t>RTF_Datei</t>
  </si>
  <si>
    <t>Termin_Person_komplett</t>
  </si>
  <si>
    <t>T</t>
  </si>
  <si>
    <t>Termin_Person_Adresse</t>
  </si>
  <si>
    <t>Termin_Person_TelNr</t>
  </si>
  <si>
    <t>Termin_Person_AzIntern</t>
  </si>
  <si>
    <t>Termin_Person_Ap</t>
  </si>
  <si>
    <t>Bearbeiter_Anrede</t>
  </si>
  <si>
    <t>Herr</t>
  </si>
  <si>
    <t>Bearbeiter_Vorname</t>
  </si>
  <si>
    <t>Carsten</t>
  </si>
  <si>
    <t>Bearbeiter_Name</t>
  </si>
  <si>
    <t>Stralucke</t>
  </si>
  <si>
    <t>Bearbeiter_Zimmernummer</t>
  </si>
  <si>
    <t>Bearbeiter_TelefonNr</t>
  </si>
  <si>
    <t>0551/525-2866</t>
  </si>
  <si>
    <t>Bearbeiter_FaxNr</t>
  </si>
  <si>
    <t>0551/525-62866</t>
  </si>
  <si>
    <t>Bearbeiter_Zustaendigkeit</t>
  </si>
  <si>
    <t>LK</t>
  </si>
  <si>
    <t>Bearbeiter_Email</t>
  </si>
  <si>
    <t>Stralucke@LandkreisGoettingen.de</t>
  </si>
  <si>
    <t>Bearbeiter_NameAusdruck</t>
  </si>
  <si>
    <t>Bearbeiter_BriefUnterschrift</t>
  </si>
  <si>
    <t>Klienten_Anrede_(im_Dativ)</t>
  </si>
  <si>
    <t>Herrn</t>
  </si>
  <si>
    <t>heutiges_Datum_in_Kurzform</t>
  </si>
  <si>
    <t>Dtmj</t>
  </si>
  <si>
    <t>Klienten_Kundennr._BA</t>
  </si>
  <si>
    <t>Klienten_Name</t>
  </si>
  <si>
    <t>Klienten_Vorname</t>
  </si>
  <si>
    <t>Klienten_Postleitzahl</t>
  </si>
  <si>
    <t>Klienten_Ort</t>
  </si>
  <si>
    <t>Klienten_Geburtsdatum</t>
  </si>
  <si>
    <t>Klienten_Anrede</t>
  </si>
  <si>
    <t>Klienten_Strasse_+_Hausnummer</t>
  </si>
  <si>
    <t>Klienten_AzExtern</t>
  </si>
  <si>
    <t>Klienten_SV_Nr</t>
  </si>
  <si>
    <t>Klienten_BGNummer</t>
  </si>
  <si>
    <t>Klienten_Geburtsname</t>
  </si>
  <si>
    <t>Klienten_Geburtsort</t>
  </si>
  <si>
    <t>Göttingen</t>
  </si>
  <si>
    <t>Datum</t>
  </si>
  <si>
    <t>Klienten_Email</t>
  </si>
  <si>
    <t>Klienten_Telefon</t>
  </si>
  <si>
    <t>Klienten_Zust_Bearb_Adr1</t>
  </si>
  <si>
    <t>Landkreis Göttingen</t>
  </si>
  <si>
    <t>Klienten_Zust_Bearb_Adr2</t>
  </si>
  <si>
    <t>Fachbereich Jobcenter, FD 56.3</t>
  </si>
  <si>
    <t>Klienten_Zust_Bearb_Adr3</t>
  </si>
  <si>
    <t>Herr Stralucke</t>
  </si>
  <si>
    <t>Klienten_Zust_Bearb_Adr4</t>
  </si>
  <si>
    <t>Reinhäuser Landstraße 4</t>
  </si>
  <si>
    <t>Klienten_Zust_Bearb_Adr5</t>
  </si>
  <si>
    <t>37083 Göttingen</t>
  </si>
  <si>
    <t>KlientenZustBearbeiter_Anrede</t>
  </si>
  <si>
    <t>KlientenZustBearbeiter_AnredeDativ</t>
  </si>
  <si>
    <t>KlientenZustBearbeiter_Name</t>
  </si>
  <si>
    <t>KlientenZustBearbeiter_Tel</t>
  </si>
  <si>
    <t>KlientenZustBearbeiter_Zimmer</t>
  </si>
  <si>
    <t>KlientenZustBearbeiter_Mail</t>
  </si>
  <si>
    <t>KlientenSteuerID</t>
  </si>
  <si>
    <t>Klienten_Staatsangehoerigkeit</t>
  </si>
  <si>
    <t>Deutschland</t>
  </si>
  <si>
    <t>Klienten_Geburtsland</t>
  </si>
  <si>
    <t>Anschrift_FD_LKG</t>
  </si>
  <si>
    <t>Fachbereich Soziales_x000D_Jobcenter Göttingen_x000D_- 56.5 -_x000D__x000D_Carl-Zeiss-Str.5_x000D_37081 Göttingen</t>
  </si>
  <si>
    <t>FACHDIENST-Email_STADT_GOe</t>
  </si>
  <si>
    <t>NuOptAnrede</t>
  </si>
  <si>
    <t>NuOptEmail</t>
  </si>
  <si>
    <t>NuOptFax</t>
  </si>
  <si>
    <t>NuOptFon</t>
  </si>
  <si>
    <t>NuOptZiNr</t>
  </si>
  <si>
    <t>NuOptVorname</t>
  </si>
  <si>
    <t>NuOptName</t>
  </si>
  <si>
    <t>NuOptPZ1</t>
  </si>
  <si>
    <t>NuOptPZ2</t>
  </si>
  <si>
    <t>NuOptPZ3</t>
  </si>
  <si>
    <t>NuOptPZ4</t>
  </si>
  <si>
    <t>NuOptPZ5</t>
  </si>
  <si>
    <t>Anrede_tPePZ1</t>
  </si>
  <si>
    <t>die</t>
  </si>
  <si>
    <t>NuOptOrt</t>
  </si>
  <si>
    <t>Termin_Person_bei_Adresse_bei</t>
  </si>
  <si>
    <t>ZustBearbStandort</t>
  </si>
  <si>
    <t>56LKGÖ</t>
  </si>
  <si>
    <t>BearbeiterAnredeDativ</t>
  </si>
  <si>
    <t>NuOptPZ1-Lkzentral-Stadt</t>
  </si>
  <si>
    <t>NuOptPZ2-Lkzentral-Stadt</t>
  </si>
  <si>
    <t>Fachbereich Jobcenter, FD 56.2</t>
  </si>
  <si>
    <t>NuOptPZ3-Lkzentral-Stadt</t>
  </si>
  <si>
    <t>NuOptPZ4-Lkzentral-Stadt</t>
  </si>
  <si>
    <t>NuOptPZ5-Lkzentral-Stadt</t>
  </si>
  <si>
    <t>Klienten_Bankleitzahl</t>
  </si>
  <si>
    <t>Klienten_Kontonummer</t>
  </si>
  <si>
    <t>Klienten_BIC</t>
  </si>
  <si>
    <t>Klienten_IBAN</t>
  </si>
  <si>
    <t>Klienten_KtoInhaber</t>
  </si>
  <si>
    <t>Klienten_Bankverbindung</t>
  </si>
  <si>
    <t>Termin_fuer_Name</t>
  </si>
  <si>
    <t>Termin_fuer_Vorname</t>
  </si>
  <si>
    <t>Termin_fuer_Strasse_und_HNr</t>
  </si>
  <si>
    <t>Termin_fuer_PLZ</t>
  </si>
  <si>
    <t>Termin_fuer_Ort</t>
  </si>
  <si>
    <t>Termin_fuer_Geburtsdatum</t>
  </si>
  <si>
    <t>Termin_fuer_Zust_Bearb_Anrede</t>
  </si>
  <si>
    <t>Termin_fuer_Zust_Bearb</t>
  </si>
  <si>
    <t>Termin_Ab-Datum</t>
  </si>
  <si>
    <t>heutiges_Datum</t>
  </si>
  <si>
    <t>Dmmj</t>
  </si>
  <si>
    <t>Termin_Verfasser_Anrede</t>
  </si>
  <si>
    <t>Termin_Verfasser_Anrede_Herr</t>
  </si>
  <si>
    <t>Termin_Verfasser_Name</t>
  </si>
  <si>
    <t>Termin_Klient_Adresszeile_1</t>
  </si>
  <si>
    <t>Termin_Klient_Adresszeile_2</t>
  </si>
  <si>
    <t>Termin_Klient_Adresszeile_3</t>
  </si>
  <si>
    <t>Termin_Klient_Adresszeile_4</t>
  </si>
  <si>
    <t>Termin_Klient_Adresszeile_5</t>
  </si>
  <si>
    <t>Termin_Klient_Briefanrede</t>
  </si>
  <si>
    <t>Termin_fuer_AnredeDativ</t>
  </si>
  <si>
    <t>Termin_fuer_Anrede</t>
  </si>
  <si>
    <t>Termin_fuer_IBAN</t>
  </si>
  <si>
    <t>Termin_fuer_KontoInhaber</t>
  </si>
  <si>
    <t>Termin_fuer_BIC</t>
  </si>
  <si>
    <t>Termin_Beteiligt_Adresszeile_1</t>
  </si>
  <si>
    <t>Termin_Beteiligt_Adresszeile_2</t>
  </si>
  <si>
    <t>Termin_Beteiligt_Adresszeile_3</t>
  </si>
  <si>
    <t>Termin_Beteiligt_Adresszeile_4</t>
  </si>
  <si>
    <t>Termin_Beteiligt_Adresszeile_5</t>
  </si>
  <si>
    <t>PartnerVerz_Selected</t>
  </si>
  <si>
    <t>Prozent:</t>
  </si>
  <si>
    <t>Stand:</t>
  </si>
  <si>
    <t>08.07.2019 11:04:43</t>
  </si>
  <si>
    <t>ZZZ-Tester Testi 1986-05-21</t>
  </si>
  <si>
    <t>Vermerk Prüfung EGZ Anlage 2 (Erklärung nach Ablauf der Nachbeschäftigungszeit)_x000D__x000D_eLb: Herr Testi ZZZ-Tester _x000D_geb. am 21.05.1986, wohnhaft Reinholdstraße 5 a Ap 33, 37130 Gleichen _x000D_Arbeitgeber: XXXXX_x000D__x000D_Dem o.g. Arbeitgeber wurde für  die Einstellung von KlientenAnredeDativ)* Testi ZZZ-Tester einen Eingliederungszuschuss (EGZ) nach § 16 Abs. 1 SGB II in Verbindung mit §§ 88 ff. SGB III für den Zeitraum vom X.XX.20XX bis XX.XX.20XX in Höhe von X € monatlich bewilligt._x000D__x000D_Aufgrund des gewährten Zuschusses ist eine Nachbeschäftigungszeit bis zum XX.XX.20XX einzuhalten (§ 92 Abs. 2 Satz 5 SGB III)._x000D__x000D_Die Anlage 2 des EGZ-Bewilligungsbescheides vom XX.XX.20XX zur Erklärung nach Ablauf der Nachbeschäftigungszeit wurde vom o.g. Arbeitgeber am XX.XX.20XX eingereicht._x000D__x000D_Der o.g. Arbeitgeber gibt an, dass das Beschäftigungsverhältnis bis zum XX.XX.20XX fortbesteht. Die Nachbeschäftigungszeit ist somit eingehalten. Rückforderungsansprüche die sich auf die vorzeitige Beendigung des Arbeitsverhältnisses stützen entfallen und sind nicht weiter zu prüfen._x000D__x000D_56LKGÖ, 08. Juli 2019_x000D__x000D_(Christopher Pinnecke)Prüfungsschema Eingliederungszuschuss (EGZ) für besonders betroffene schwerbehinderte Arbeitnehmer/innen mit Minderleistungen nach § 16 Abs. 1 SGB II i. V. m. §§ 88 f., 90 Abs. 2 SGB III_x000D__x000D_eLb: Herr Testi ZZZ-Tester _x000D_geb. am 21.05.1986, wohnhaft Reinholdstraße 5 a Ap 33, 37130 Gleichen _x000D_Arbeitgeber: XXXXX_x000D______________________________x000D_I. F o r m e l l e R e c h t m ä ß i g k e i t (Zuständigkeit/ kein Leistungsausschluss)_x000D_[ ] Die Person ist aktuell ein eLb im Landkreis Göttingen_x000D_[ ] Die Person bezieht kein ALG I_x000D_[ ] Bei der Person besteht kein Leistungsverbot aufgrund beruflicher Rehabilitation_x000D_[ ] Die Person ist kein sog. Erwerbsaufstocker_x000D______________________________x000D_II. M a t e r i e l l e R e c h t m ä ß i g k e i t (Tatbestandsmerkmale und Rechtsfolge Ermessen)_x000D_A) T a t b e s t a n d s m e r k m a l e_x000D_[ ] Herr Testi ZZZ-Tester bezieht ALG II bei Antragsstellung_x000D_[ ] Antragsstellung vor Arbeitsaufnahme_x000D_[ ] besonders betroffener schwerbehinderter Mensch:_x000D_            [ ] schwerbehinderter Mensch i. S. d. § 104 Abs. 1 Nr. 3 a-d SGB IX oder_x000D_            [ ] gleichgestellte behinderte Menschen i. S. d. § 2 Abs. 3 SGB IX_x000D_[ ] Beschäftigung entspricht mindestens regelmäßiger Mindestdauer von 6 Monaten_x000D_[ ] (sozial-)versicherungspflichtige Beschäftigung mit mind. 15 Wochenstunden_x000D_[ ] besondere Minderleistungen (siehe unten)_x000D__x000D_[ ] Vermittlungshemmnisse, die in der Person des Arbeitnehmers liegen:_x000D_XXXXXXXXXXXXXXXXXXXXXXXXXXXXXXXXXXXXXXXX_x000D__x000D_[ ] Minderleistungen, bezogen auf den konkreten Arbeitsplatz: _x000D_(Beurteilung: Differenz der beruflichen Fähigkeiten, Kenntnisse, Erfahrungen und Stärken im Verhältnis zu den konkreten stellenbezogenen Anforderungen des Arbeitsplatzes. Die zu erwartende Minderleistung muss über den Rahmen einer üblichen Einarbeitung hinausgehen.)_x000D_XXXXXXXXXXXXXXXXXXXXXXXXXXXXXXXXXXXXXXXX_x000D______________________________x000D_B) R e c h t s f o l g e E r m e s s e n: _x000D_Zweck: Ausgleich der anfänglichen Minderleistungen des/der Arbeitnehmers/in durch Zuschüsse._x000D_- Beachte § 90 Abs. 3 SGB III (schwerbehindert): Wird der AN ohne gesetzliche Verpflichtung oder über die Beschäftigungspflicht nach dem SGB IX hinaus eingestellt und beschäftigt?_x000D__x000D_1.) Entschließungsermessen: "ob"- bei Vorliegen der tatbestandlichen Voraussetzungen - überhaupt gehandelt wird? _x000D_Beachte: Ermessensreduzierung auf Null - ggf. Gebundenheit durch bereits getroffene Entscheidungen bei gleicher Sachlage oder durch bereits erfolgte Zusicherung der Förderung, aber auch wenn kein Eingliederungserfordernis besteht._x000D__x000D_[  ] Eingliederungserforderlichkeit sowie die Wahrscheinlichkeit der dauerhaften Eingliederung des/der Arbeitnehmers/in ist gegeben_x000D_XXXXXXXXXXXXXXXXXXXXXXXXXXXXXXXXXXXXXXXXX_x000D__x000D_[  ] Abwägung zwischen dem Arbeitgeberinteresse und dem Arbeitsmarktinteresse/öffentliches Interesse hinsichtlich Wettbewerbsneutralität, stehen die Eingliederung des leistungsgeminderten AN oder betriebliche Gründe für die Einstellung im Vordergrund? (Verwandtschaftsverhältnis, Insolvenz, bereits beim AG gearbeitet)_x000D__x000D__x000D_2. Auswahlermessen: "wie" - in welcher Form die Behörde vorgeht - solange dabei die äußeren Grenzen des Ermessens eingehalten werden_x000D_Umfang der Förderung:_x000D_[Abwägungsaspekte: Umfang der Minderleistung und die jeweiligen Eingliederungserfordernisse. Mit Dauer der Beschäftigung erfolgt der Abbau von Minderleistungen, sodass eine Abnahme des Eingliederungserfordernisses stattfindet.] -&gt; vorangegangenes Praktikum berücksichtigen!_x000D__x000D_Ausführliche Begründung Höhe EGZ: [Die individuellen Leistungsdefizite des Arbeitsnehmers sind in Bezug zum Anforderungsprofil des neuen Arbeitsplatzes zu setzen.]_x000D__x000D_Ausführliche Begründung Dauer EGZ: [Beachtung der individuellen Leistungsmerkmale des Arbeitnehmers. Die Minderleistung sowie die Einschätzung über den Zeitraum der Anpassung an die volle Leistungsfähigkeit am neuen Arbeitsplatz, um die Minderleistung auszugleichen.]_x000D______________________________x000D_III. E r g e b n i s: _x000D__x000D_[ ] Dem o.g. Arbeitgeber wird im vorliegenden Einzelfall ein Eingliederungszuschuss (EGZ) nach § 16 SGB Abs. 1 SGB II in Verbindung mit §§ 88 f., 90 Abs. 2 SGB III für X Monate mit X0% bewilligt. _x000D__x000D_[ ] Der Antrag des o.g. Arbeitgebers auf einen Eingliederungszuschuss (EGZ) wird abgelehnt._x000D__x000D_Hinweis: Die Berechnung der Förderhöhe und der Förderdauer des Eingliederungszuschusses erfolgt in einem gesonderten Vermerk. _x000D__x000D__x000D_56LKGÖ, 08. Juli 2019_x000D__x000D__x000D_(Christopher Pinnecke)</t>
  </si>
  <si>
    <t>Entscheidungsfindung</t>
  </si>
  <si>
    <t>aktuell</t>
  </si>
  <si>
    <t>08.07.2019 11:03:00</t>
  </si>
  <si>
    <t>§88 ff EGZ Prüfungsschema für bes. betr. schwerb</t>
  </si>
  <si>
    <t>Herr Testi ZZZ-Tester</t>
  </si>
  <si>
    <t>Herrn_x000D_Testi ZZZ-Tester_x000D_bei Familie X_x000D_Postfach 455454_x000D_37131 Gleichen_x000D_Frau_x000D_Testi ZZZ-Tester_x000D_Alexisbad_x000D_Äckernweg 5_x000D_37130 Gleichen_x000D_Herrn_x000D_Testi ZZZ-Tester_x000D_Alexisbad_x000D_Äckernweg 5 a Ap 33_x000D_37130 Gleichen_x000D_Herrn_x000D_Testi ZZZ-Tester_x000D_Alexisbad_x000D_Äckernweg 5_x000D_37130 Gleichen_x000D_Herrn_x000D_Testi ZZZ-Tester_x000D_Postfach 455454_x000D_37131 Gleichen_x000D__x000D_Herrn_x000D_Testi ZZZ-Tester_x000D_Alexisbad_x000D_Äckernweg 5_x000D_37130 Gleichen</t>
  </si>
  <si>
    <t>0551 18888</t>
  </si>
  <si>
    <t>165K187386</t>
  </si>
  <si>
    <t>ZZZ-Tester</t>
  </si>
  <si>
    <t>Testi</t>
  </si>
  <si>
    <t>Gleichen</t>
  </si>
  <si>
    <t>21.05.1986</t>
  </si>
  <si>
    <t>Reinholdstraße 5 a Ap 33</t>
  </si>
  <si>
    <t>zzz@gmx.de</t>
  </si>
  <si>
    <t>Afghanistan</t>
  </si>
  <si>
    <t>NOLADE21GOE</t>
  </si>
  <si>
    <t>DE78260500010000505792</t>
  </si>
  <si>
    <t>ZZZ-Tester, Testi</t>
  </si>
  <si>
    <t>Reinholdstraße 5</t>
  </si>
  <si>
    <t>08.07.2019</t>
  </si>
  <si>
    <t>Pinnecke</t>
  </si>
  <si>
    <t>Testi ZZZ-Tester</t>
  </si>
  <si>
    <t>Postfach 455454</t>
  </si>
  <si>
    <t>37131 Gleichen</t>
  </si>
  <si>
    <t>Sehr geehrter Herr ZZZ-Tester,</t>
  </si>
  <si>
    <t>Förderrate</t>
  </si>
  <si>
    <t>Summe</t>
  </si>
  <si>
    <t>lt. Bescheid max.</t>
  </si>
  <si>
    <t>berücksichtigungsfähiges Arbeitsentgeld</t>
  </si>
  <si>
    <t>SV-Anteil AG (20 %)</t>
  </si>
  <si>
    <t>Förderung</t>
  </si>
  <si>
    <t>Bereits ausgezahlter Förderbetrag</t>
  </si>
  <si>
    <t>/</t>
  </si>
  <si>
    <t>x</t>
  </si>
  <si>
    <t>Gesamttage 
Abrechnungsmonat</t>
  </si>
  <si>
    <t>=</t>
  </si>
  <si>
    <t>Berechneter Gesamtförderbetrag</t>
  </si>
  <si>
    <t>Arbeitstage 
Abrechnungs-monat</t>
  </si>
  <si>
    <t>Bewilligungszeitraum:</t>
  </si>
  <si>
    <t>Förderrate laut Bescheid:</t>
  </si>
  <si>
    <t>Zeitraum</t>
  </si>
  <si>
    <t>Höhe EGZ laut Bescheid:</t>
  </si>
  <si>
    <t xml:space="preserve">Dauer EGZ laut Bescheid: </t>
  </si>
  <si>
    <t>Dauer:</t>
  </si>
  <si>
    <t>1. Rate ausgezahlt</t>
  </si>
  <si>
    <t>Schlussrechnung</t>
  </si>
  <si>
    <t>tatsächliche Förderung</t>
  </si>
  <si>
    <t>Förderanteil in %</t>
  </si>
  <si>
    <t>2. Rate ausgezahlt</t>
  </si>
  <si>
    <t>3. Rate ausgezahlt</t>
  </si>
  <si>
    <t>4. Rate ausgezahlt</t>
  </si>
  <si>
    <t>5. Rate ausgezahlt</t>
  </si>
  <si>
    <t>6. Rate ausgezahlt</t>
  </si>
  <si>
    <t>7. Rate ausgezahlt</t>
  </si>
  <si>
    <t>8. Rate ausgezahlt</t>
  </si>
  <si>
    <t>9. Rate ausgezahlt</t>
  </si>
  <si>
    <t>10. Rate ausgezahlt</t>
  </si>
  <si>
    <t>11. Rate ausgezahlt</t>
  </si>
  <si>
    <t>Anmerkungen</t>
  </si>
  <si>
    <t>11.07.2019</t>
  </si>
  <si>
    <t>11. Juli 2019</t>
  </si>
  <si>
    <t>Eingliederungszuschuss gemäß §§ 88 ff. SGB III - Schlussberechnung</t>
  </si>
  <si>
    <t>tatsächliches Bruttogehalt
lt. Lohnabrechnung für
Abrechnungsmonat</t>
  </si>
  <si>
    <t>1. Monat</t>
  </si>
  <si>
    <t>2. Monat</t>
  </si>
  <si>
    <t>3. Monat</t>
  </si>
  <si>
    <t>4. Monat</t>
  </si>
  <si>
    <t>5. Monat</t>
  </si>
  <si>
    <t>6. Monat</t>
  </si>
  <si>
    <t>7. Monat</t>
  </si>
  <si>
    <t>8. Monat</t>
  </si>
  <si>
    <t>9. Monat</t>
  </si>
  <si>
    <t>10. Monat</t>
  </si>
  <si>
    <t>11. Monat</t>
  </si>
  <si>
    <t>tatsächliches Bruttogehalt 
lt. Lohnabrechnung 
für Abrechnungsmonat</t>
  </si>
  <si>
    <t>Berechnung für Arbeitsbeginn zum 1. des Monats - Bitte ausfüllen!</t>
  </si>
  <si>
    <t>1. Degression:</t>
  </si>
  <si>
    <t>1.Degression</t>
  </si>
  <si>
    <t>2. Degression</t>
  </si>
  <si>
    <t>10 Prozent</t>
  </si>
  <si>
    <t>20 Prozent</t>
  </si>
  <si>
    <t>. Monat</t>
  </si>
  <si>
    <t>2. Degression:</t>
  </si>
  <si>
    <t>Adresse Arbeitgeber: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</si>
</sst>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 &quot;€&quot;"/>
    <numFmt numFmtId="166" formatCode="d/m/yy;@"/>
  </numFmts>
  <fonts count="4"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1">
    <xf numFmtId="0" fontId="0" fillId="0" borderId="0"/>
  </cellStyleXfs>
  <cellXfs count="119">
    <xf numFmtId="0" fontId="0" fillId="0" borderId="0" xfId="0"/>
    <xf numFmtId="0" fontId="0" fillId="0" borderId="0" xfId="0" applyNumberFormat="1"/>
    <xf numFmtId="0" fontId="0" fillId="0" borderId="0" xfId="0" quotePrefix="1" applyNumberFormat="1"/>
    <xf numFmtId="0" fontId="0" fillId="0" borderId="0" xfId="0" applyBorder="1" applyProtection="1"/>
    <xf numFmtId="0" fontId="0" fillId="0" borderId="0" xfId="0" applyProtection="1"/>
    <xf numFmtId="164" fontId="1" fillId="0" borderId="0" xfId="0" applyNumberFormat="1" applyFont="1" applyAlignment="1" applyProtection="1">
      <alignment horizontal="center"/>
      <protection locked="0"/>
    </xf>
    <xf numFmtId="0" fontId="1" fillId="0" borderId="1" xfId="0" applyFont="1" applyFill="1" applyBorder="1" applyAlignment="1" applyProtection="1">
      <alignment horizontal="center"/>
      <protection locked="0"/>
    </xf>
    <xf numFmtId="2" fontId="1" fillId="0" borderId="15" xfId="0" applyNumberFormat="1" applyFont="1"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0" fontId="0" fillId="0" borderId="0" xfId="0" applyAlignment="1">
      <alignment horizontal="center" vertical="center"/>
    </xf>
    <xf numFmtId="165" fontId="1" fillId="0" borderId="15" xfId="0" applyNumberFormat="1" applyFont="1" applyFill="1" applyBorder="1" applyAlignment="1" applyProtection="1">
      <alignment horizontal="right"/>
      <protection locked="0"/>
    </xf>
    <xf numFmtId="0" fontId="1" fillId="0" borderId="0" xfId="0" applyFont="1" applyBorder="1" applyProtection="1"/>
    <xf numFmtId="0" fontId="1" fillId="0" borderId="11" xfId="0" applyFont="1" applyBorder="1" applyProtection="1"/>
    <xf numFmtId="0" fontId="1" fillId="0" borderId="10" xfId="0" applyFont="1" applyBorder="1" applyProtection="1"/>
    <xf numFmtId="0" fontId="1" fillId="0" borderId="0" xfId="0" applyFont="1" applyBorder="1" applyAlignment="1" applyProtection="1">
      <alignment horizontal="center"/>
    </xf>
    <xf numFmtId="0" fontId="1" fillId="0" borderId="7" xfId="0" applyFont="1" applyBorder="1" applyProtection="1"/>
    <xf numFmtId="0" fontId="1" fillId="0" borderId="8" xfId="0" applyFont="1" applyBorder="1" applyProtection="1"/>
    <xf numFmtId="0" fontId="0" fillId="0" borderId="8" xfId="0" applyBorder="1" applyProtection="1"/>
    <xf numFmtId="0" fontId="1" fillId="0" borderId="9" xfId="0" applyFont="1" applyBorder="1" applyProtection="1"/>
    <xf numFmtId="0" fontId="0" fillId="0" borderId="0" xfId="0" applyAlignment="1" applyProtection="1">
      <alignment wrapText="1"/>
    </xf>
    <xf numFmtId="0" fontId="0" fillId="0" borderId="0" xfId="0" applyProtection="1">
      <protection locked="0"/>
    </xf>
    <xf numFmtId="0" fontId="0" fillId="0" borderId="0" xfId="0" applyAlignment="1" applyProtection="1">
      <alignment horizontal="center"/>
      <protection locked="0"/>
    </xf>
    <xf numFmtId="0" fontId="0" fillId="0" borderId="5" xfId="0" applyFont="1" applyBorder="1" applyProtection="1"/>
    <xf numFmtId="0" fontId="0" fillId="0" borderId="20" xfId="0" applyFont="1" applyBorder="1" applyProtection="1"/>
    <xf numFmtId="0" fontId="0" fillId="0" borderId="0" xfId="0" applyFont="1" applyBorder="1" applyProtection="1"/>
    <xf numFmtId="0" fontId="1" fillId="0" borderId="0" xfId="0" applyFont="1" applyBorder="1" applyAlignment="1" applyProtection="1">
      <alignment horizontal="right"/>
    </xf>
    <xf numFmtId="0" fontId="0" fillId="0" borderId="13" xfId="0" applyFont="1" applyBorder="1" applyProtection="1"/>
    <xf numFmtId="0" fontId="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0" fillId="2" borderId="13" xfId="0" applyFont="1" applyFill="1" applyBorder="1" applyAlignment="1" applyProtection="1">
      <alignment vertical="center"/>
    </xf>
    <xf numFmtId="165" fontId="1" fillId="0" borderId="0" xfId="0" applyNumberFormat="1" applyFont="1" applyBorder="1" applyProtection="1"/>
    <xf numFmtId="165" fontId="1" fillId="0" borderId="0" xfId="0" applyNumberFormat="1" applyFont="1" applyBorder="1" applyAlignment="1" applyProtection="1">
      <alignment horizontal="center"/>
    </xf>
    <xf numFmtId="165" fontId="0" fillId="0" borderId="0" xfId="0" applyNumberFormat="1" applyFont="1" applyBorder="1" applyProtection="1"/>
    <xf numFmtId="165" fontId="1" fillId="0" borderId="3" xfId="0" applyNumberFormat="1" applyFont="1" applyBorder="1" applyProtection="1"/>
    <xf numFmtId="165" fontId="0" fillId="0" borderId="3" xfId="0" applyNumberFormat="1" applyFont="1" applyBorder="1" applyProtection="1"/>
    <xf numFmtId="0" fontId="0" fillId="0" borderId="3" xfId="0" applyFont="1" applyBorder="1" applyProtection="1"/>
    <xf numFmtId="165" fontId="1" fillId="0" borderId="0" xfId="0" applyNumberFormat="1" applyFont="1" applyFill="1" applyBorder="1" applyProtection="1"/>
    <xf numFmtId="0" fontId="1" fillId="0" borderId="0" xfId="0" applyFont="1" applyFill="1" applyBorder="1" applyProtection="1"/>
    <xf numFmtId="0" fontId="1" fillId="0" borderId="20" xfId="0" applyFont="1" applyFill="1" applyBorder="1" applyAlignment="1" applyProtection="1">
      <alignment horizontal="center"/>
    </xf>
    <xf numFmtId="0" fontId="1" fillId="0" borderId="3" xfId="0" applyFont="1" applyBorder="1" applyAlignment="1" applyProtection="1">
      <alignment horizontal="right"/>
    </xf>
    <xf numFmtId="0" fontId="1" fillId="0" borderId="13" xfId="0" applyFont="1" applyFill="1" applyBorder="1" applyProtection="1"/>
    <xf numFmtId="165" fontId="1" fillId="0" borderId="0" xfId="0" applyNumberFormat="1" applyFont="1" applyFill="1" applyBorder="1" applyAlignment="1" applyProtection="1"/>
    <xf numFmtId="0" fontId="0" fillId="0" borderId="7" xfId="0" applyFont="1" applyBorder="1" applyProtection="1"/>
    <xf numFmtId="0" fontId="0" fillId="0" borderId="8" xfId="0" applyFont="1" applyBorder="1" applyProtection="1"/>
    <xf numFmtId="0" fontId="0" fillId="0" borderId="14" xfId="0" applyFont="1" applyBorder="1" applyProtection="1"/>
    <xf numFmtId="165" fontId="1" fillId="0" borderId="13" xfId="0" applyNumberFormat="1" applyFont="1" applyFill="1" applyBorder="1" applyAlignment="1" applyProtection="1">
      <alignment horizontal="center" vertical="center"/>
      <protection locked="0"/>
    </xf>
    <xf numFmtId="165" fontId="1" fillId="0" borderId="13" xfId="0" applyNumberFormat="1" applyFont="1" applyFill="1" applyBorder="1" applyAlignment="1" applyProtection="1">
      <alignment horizontal="center"/>
      <protection locked="0"/>
    </xf>
    <xf numFmtId="165" fontId="1" fillId="0" borderId="6" xfId="0" applyNumberFormat="1" applyFont="1" applyBorder="1" applyAlignment="1" applyProtection="1">
      <alignment vertical="center"/>
    </xf>
    <xf numFmtId="0" fontId="0" fillId="0" borderId="0" xfId="0" applyFont="1" applyAlignment="1" applyProtection="1">
      <alignment horizontal="center"/>
    </xf>
    <xf numFmtId="0" fontId="1" fillId="0" borderId="0" xfId="0" applyFont="1" applyAlignment="1" applyProtection="1">
      <alignment horizontal="center" vertical="center"/>
    </xf>
    <xf numFmtId="0" fontId="0" fillId="0" borderId="10" xfId="0" applyFont="1" applyFill="1" applyBorder="1" applyProtection="1"/>
    <xf numFmtId="0" fontId="0" fillId="0" borderId="0" xfId="0" applyFont="1" applyFill="1" applyBorder="1" applyProtection="1"/>
    <xf numFmtId="0" fontId="0" fillId="0" borderId="11" xfId="0" applyFont="1" applyBorder="1" applyProtection="1"/>
    <xf numFmtId="0" fontId="0" fillId="0" borderId="0" xfId="0" applyFont="1" applyProtection="1"/>
    <xf numFmtId="0" fontId="1" fillId="0" borderId="0" xfId="0" applyFont="1" applyFill="1" applyAlignment="1" applyProtection="1">
      <alignment horizontal="left"/>
    </xf>
    <xf numFmtId="0" fontId="0" fillId="0" borderId="8" xfId="0" applyFont="1" applyFill="1" applyBorder="1" applyProtection="1"/>
    <xf numFmtId="0" fontId="1" fillId="0" borderId="8" xfId="0" applyFont="1" applyFill="1" applyBorder="1" applyProtection="1"/>
    <xf numFmtId="0" fontId="1" fillId="2" borderId="12" xfId="0" applyFont="1" applyFill="1" applyBorder="1" applyProtection="1"/>
    <xf numFmtId="0" fontId="1" fillId="0" borderId="0" xfId="0" applyFont="1" applyAlignment="1" applyProtection="1">
      <alignment vertical="center"/>
      <protection locked="0"/>
    </xf>
    <xf numFmtId="0" fontId="1" fillId="0" borderId="4" xfId="0" applyFont="1" applyFill="1" applyBorder="1" applyAlignment="1" applyProtection="1"/>
    <xf numFmtId="0" fontId="1" fillId="0" borderId="5" xfId="0" applyFont="1" applyFill="1" applyBorder="1" applyAlignment="1" applyProtection="1"/>
    <xf numFmtId="0" fontId="1" fillId="0" borderId="21" xfId="0" applyFont="1" applyFill="1" applyBorder="1" applyAlignment="1" applyProtection="1">
      <alignment vertical="center"/>
    </xf>
    <xf numFmtId="0" fontId="1" fillId="0" borderId="3" xfId="0" applyFont="1" applyFill="1" applyBorder="1" applyAlignment="1" applyProtection="1">
      <alignment vertical="center"/>
    </xf>
    <xf numFmtId="165" fontId="1" fillId="0" borderId="22" xfId="0" applyNumberFormat="1" applyFont="1" applyBorder="1" applyProtection="1"/>
    <xf numFmtId="165" fontId="3" fillId="0" borderId="9" xfId="0" applyNumberFormat="1" applyFont="1" applyBorder="1" applyAlignment="1" applyProtection="1">
      <alignment vertical="center"/>
    </xf>
    <xf numFmtId="14" fontId="1" fillId="0" borderId="1" xfId="0" applyNumberFormat="1" applyFont="1" applyFill="1" applyBorder="1" applyAlignment="1" applyProtection="1">
      <alignment horizontal="center"/>
      <protection locked="0"/>
    </xf>
    <xf numFmtId="14" fontId="1" fillId="0" borderId="1" xfId="0" applyNumberFormat="1" applyFont="1" applyFill="1" applyBorder="1" applyAlignment="1" applyProtection="1">
      <alignment horizontal="center"/>
    </xf>
    <xf numFmtId="14" fontId="0" fillId="0" borderId="0" xfId="0" applyNumberFormat="1" applyProtection="1"/>
    <xf numFmtId="0" fontId="1" fillId="0" borderId="12" xfId="0" applyFont="1" applyBorder="1" applyProtection="1">
      <protection locked="0"/>
    </xf>
    <xf numFmtId="0" fontId="1" fillId="0" borderId="12" xfId="0" applyFont="1" applyBorder="1" applyAlignment="1" applyProtection="1">
      <alignment horizontal="center"/>
      <protection locked="0"/>
    </xf>
    <xf numFmtId="0" fontId="0" fillId="0" borderId="10" xfId="0" applyBorder="1" applyProtection="1"/>
    <xf numFmtId="0" fontId="0" fillId="0" borderId="11" xfId="0" applyBorder="1" applyProtection="1"/>
    <xf numFmtId="0" fontId="0" fillId="0" borderId="20" xfId="0" applyBorder="1" applyAlignment="1">
      <alignment horizontal="center" vertical="center"/>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165" fontId="1" fillId="0" borderId="0" xfId="0" applyNumberFormat="1" applyFont="1" applyBorder="1" applyAlignment="1" applyProtection="1">
      <alignment horizontal="right"/>
    </xf>
    <xf numFmtId="165" fontId="1" fillId="0" borderId="23" xfId="0" applyNumberFormat="1" applyFont="1" applyFill="1" applyBorder="1" applyAlignment="1" applyProtection="1"/>
    <xf numFmtId="166" fontId="1" fillId="0" borderId="24" xfId="0" applyNumberFormat="1" applyFont="1" applyBorder="1" applyAlignment="1" applyProtection="1">
      <alignment horizontal="left"/>
      <protection locked="0"/>
    </xf>
    <xf numFmtId="164" fontId="1" fillId="0" borderId="0" xfId="0" applyNumberFormat="1" applyFont="1" applyAlignment="1" applyProtection="1">
      <alignment vertical="center"/>
      <protection locked="0"/>
    </xf>
    <xf numFmtId="0" fontId="1" fillId="0" borderId="0" xfId="0" applyFont="1" applyProtection="1">
      <protection locked="0"/>
    </xf>
    <xf numFmtId="0" fontId="1" fillId="0" borderId="23" xfId="0" applyFont="1" applyBorder="1" applyAlignment="1" applyProtection="1">
      <alignment horizontal="left" vertical="center"/>
    </xf>
    <xf numFmtId="165" fontId="1" fillId="0" borderId="10" xfId="0" applyNumberFormat="1" applyFont="1" applyFill="1" applyBorder="1" applyAlignment="1" applyProtection="1">
      <alignment horizontal="center"/>
    </xf>
    <xf numFmtId="165" fontId="1" fillId="0" borderId="11" xfId="0" applyNumberFormat="1"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6" xfId="0" applyFont="1" applyFill="1" applyBorder="1" applyAlignment="1" applyProtection="1">
      <alignment horizont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0" borderId="7" xfId="0" applyFont="1" applyFill="1" applyBorder="1" applyAlignment="1" applyProtection="1">
      <alignment horizontal="left" wrapText="1"/>
    </xf>
    <xf numFmtId="0" fontId="3" fillId="0" borderId="8" xfId="0" applyFont="1" applyFill="1" applyBorder="1" applyAlignment="1" applyProtection="1">
      <alignment horizontal="left" wrapText="1"/>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1" fillId="0" borderId="2" xfId="0" applyFont="1" applyBorder="1" applyAlignment="1" applyProtection="1">
      <alignment horizontal="right" vertical="center"/>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1" fillId="0" borderId="10"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31" xfId="0" applyFont="1" applyBorder="1" applyAlignment="1" applyProtection="1">
      <alignment horizontal="left"/>
      <protection locked="0"/>
    </xf>
  </cellXfs>
  <cellStyles count="1">
    <cellStyle name="Standard" xfId="0" builtinId="0"/>
  </cellStyles>
  <dxfs count="221">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BCB1"/>
        </patternFill>
      </fill>
    </dxf>
    <dxf>
      <fill>
        <patternFill>
          <bgColor theme="6"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BC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5"/>
  <sheetViews>
    <sheetView workbookViewId="0"/>
  </sheetViews>
  <sheetFormatPr baseColWidth="10" defaultRowHeight="15" x14ac:dyDescent="0.25"/>
  <cols>
    <col min="1" max="1" width="52.28515625" style="1" bestFit="1" customWidth="1"/>
    <col min="2" max="2" width="120.7109375" style="1" customWidth="1"/>
    <col min="3" max="3" width="17.85546875" style="1" bestFit="1" customWidth="1"/>
    <col min="4" max="16384" width="11.42578125" style="1"/>
  </cols>
  <sheetData>
    <row r="1" spans="1:3" x14ac:dyDescent="0.25">
      <c r="A1" s="1" t="s">
        <v>27</v>
      </c>
      <c r="B1" s="1" t="s">
        <v>167</v>
      </c>
      <c r="C1" s="1" t="s">
        <v>28</v>
      </c>
    </row>
    <row r="2" spans="1:3" x14ac:dyDescent="0.25">
      <c r="A2" s="1" t="s">
        <v>23</v>
      </c>
      <c r="B2" s="1" t="s">
        <v>15</v>
      </c>
      <c r="C2" s="1" t="s">
        <v>24</v>
      </c>
    </row>
    <row r="3" spans="1:3" x14ac:dyDescent="0.25">
      <c r="A3" s="1" t="s">
        <v>110</v>
      </c>
      <c r="B3" s="1" t="s">
        <v>111</v>
      </c>
      <c r="C3" s="1" t="s">
        <v>32</v>
      </c>
    </row>
    <row r="4" spans="1:3" x14ac:dyDescent="0.25">
      <c r="A4" s="1" t="s">
        <v>95</v>
      </c>
      <c r="B4" s="1" t="s">
        <v>96</v>
      </c>
    </row>
    <row r="5" spans="1:3" x14ac:dyDescent="0.25">
      <c r="A5" s="1" t="s">
        <v>14</v>
      </c>
      <c r="B5" s="1" t="s">
        <v>15</v>
      </c>
    </row>
    <row r="6" spans="1:3" x14ac:dyDescent="0.25">
      <c r="A6" s="1" t="s">
        <v>18</v>
      </c>
      <c r="B6" s="1" t="s">
        <v>165</v>
      </c>
    </row>
    <row r="7" spans="1:3" x14ac:dyDescent="0.25">
      <c r="A7" s="1" t="s">
        <v>37</v>
      </c>
      <c r="B7" s="1" t="s">
        <v>38</v>
      </c>
      <c r="C7" s="1" t="s">
        <v>32</v>
      </c>
    </row>
    <row r="8" spans="1:3" x14ac:dyDescent="0.25">
      <c r="A8" s="1" t="s">
        <v>53</v>
      </c>
      <c r="B8" s="1" t="s">
        <v>42</v>
      </c>
      <c r="C8" s="1" t="s">
        <v>32</v>
      </c>
    </row>
    <row r="9" spans="1:3" x14ac:dyDescent="0.25">
      <c r="A9" s="1" t="s">
        <v>50</v>
      </c>
      <c r="B9" s="1" t="s">
        <v>51</v>
      </c>
      <c r="C9" s="1" t="s">
        <v>32</v>
      </c>
    </row>
    <row r="10" spans="1:3" x14ac:dyDescent="0.25">
      <c r="A10" s="1" t="s">
        <v>46</v>
      </c>
      <c r="B10" s="1" t="s">
        <v>47</v>
      </c>
      <c r="C10" s="1" t="s">
        <v>32</v>
      </c>
    </row>
    <row r="11" spans="1:3" x14ac:dyDescent="0.25">
      <c r="A11" s="1" t="s">
        <v>41</v>
      </c>
      <c r="B11" s="1" t="s">
        <v>42</v>
      </c>
      <c r="C11" s="1" t="s">
        <v>32</v>
      </c>
    </row>
    <row r="12" spans="1:3" x14ac:dyDescent="0.25">
      <c r="A12" s="1" t="s">
        <v>52</v>
      </c>
      <c r="B12" s="1" t="s">
        <v>42</v>
      </c>
      <c r="C12" s="1" t="s">
        <v>32</v>
      </c>
    </row>
    <row r="13" spans="1:3" x14ac:dyDescent="0.25">
      <c r="A13" s="1" t="s">
        <v>44</v>
      </c>
      <c r="B13" s="1" t="s">
        <v>45</v>
      </c>
      <c r="C13" s="1" t="s">
        <v>32</v>
      </c>
    </row>
    <row r="14" spans="1:3" x14ac:dyDescent="0.25">
      <c r="A14" s="1" t="s">
        <v>39</v>
      </c>
      <c r="B14" s="1" t="s">
        <v>40</v>
      </c>
      <c r="C14" s="1" t="s">
        <v>32</v>
      </c>
    </row>
    <row r="15" spans="1:3" x14ac:dyDescent="0.25">
      <c r="A15" s="1" t="s">
        <v>43</v>
      </c>
      <c r="B15" s="1">
        <v>2608</v>
      </c>
      <c r="C15" s="1" t="s">
        <v>32</v>
      </c>
    </row>
    <row r="16" spans="1:3" x14ac:dyDescent="0.25">
      <c r="A16" s="1" t="s">
        <v>48</v>
      </c>
      <c r="B16" s="1" t="s">
        <v>49</v>
      </c>
      <c r="C16" s="1" t="s">
        <v>32</v>
      </c>
    </row>
    <row r="17" spans="1:3" x14ac:dyDescent="0.25">
      <c r="A17" s="1" t="s">
        <v>116</v>
      </c>
      <c r="B17" s="1" t="s">
        <v>55</v>
      </c>
      <c r="C17" s="1" t="s">
        <v>32</v>
      </c>
    </row>
    <row r="18" spans="1:3" x14ac:dyDescent="0.25">
      <c r="A18" s="1" t="s">
        <v>16</v>
      </c>
      <c r="B18" s="1" t="s">
        <v>164</v>
      </c>
    </row>
    <row r="19" spans="1:3" x14ac:dyDescent="0.25">
      <c r="A19" s="1" t="s">
        <v>17</v>
      </c>
      <c r="B19" s="1" t="s">
        <v>15</v>
      </c>
    </row>
    <row r="20" spans="1:3" x14ac:dyDescent="0.25">
      <c r="A20" s="1" t="s">
        <v>6</v>
      </c>
      <c r="B20" s="1" t="s">
        <v>167</v>
      </c>
      <c r="C20" s="1" t="s">
        <v>28</v>
      </c>
    </row>
    <row r="21" spans="1:3" x14ac:dyDescent="0.25">
      <c r="A21" s="1" t="s">
        <v>72</v>
      </c>
      <c r="C21" s="1" t="s">
        <v>57</v>
      </c>
    </row>
    <row r="22" spans="1:3" x14ac:dyDescent="0.25">
      <c r="A22" s="1" t="s">
        <v>25</v>
      </c>
      <c r="B22" s="1" t="s">
        <v>15</v>
      </c>
    </row>
    <row r="23" spans="1:3" x14ac:dyDescent="0.25">
      <c r="A23" s="1" t="s">
        <v>97</v>
      </c>
    </row>
    <row r="24" spans="1:3" x14ac:dyDescent="0.25">
      <c r="A24" s="1" t="s">
        <v>10</v>
      </c>
      <c r="B24" s="1">
        <v>0</v>
      </c>
    </row>
    <row r="25" spans="1:3" x14ac:dyDescent="0.25">
      <c r="A25" s="1" t="s">
        <v>138</v>
      </c>
      <c r="B25" s="1" t="s">
        <v>225</v>
      </c>
      <c r="C25" s="1" t="s">
        <v>139</v>
      </c>
    </row>
    <row r="26" spans="1:3" x14ac:dyDescent="0.25">
      <c r="A26" s="1" t="s">
        <v>56</v>
      </c>
      <c r="B26" s="1" t="s">
        <v>224</v>
      </c>
      <c r="C26" s="1" t="s">
        <v>57</v>
      </c>
    </row>
    <row r="27" spans="1:3" x14ac:dyDescent="0.25">
      <c r="A27" s="1" t="s">
        <v>64</v>
      </c>
      <c r="B27" s="1" t="s">
        <v>38</v>
      </c>
      <c r="C27" s="1" t="s">
        <v>32</v>
      </c>
    </row>
    <row r="28" spans="1:3" x14ac:dyDescent="0.25">
      <c r="A28" s="1" t="s">
        <v>54</v>
      </c>
      <c r="B28" s="1" t="s">
        <v>55</v>
      </c>
      <c r="C28" s="1" t="s">
        <v>32</v>
      </c>
    </row>
    <row r="29" spans="1:3" x14ac:dyDescent="0.25">
      <c r="A29" s="1" t="s">
        <v>66</v>
      </c>
      <c r="B29" s="1">
        <v>22222222</v>
      </c>
      <c r="C29" s="1" t="s">
        <v>32</v>
      </c>
    </row>
    <row r="30" spans="1:3" x14ac:dyDescent="0.25">
      <c r="A30" s="1" t="s">
        <v>123</v>
      </c>
      <c r="B30" s="1">
        <v>26050001</v>
      </c>
      <c r="C30" s="1" t="s">
        <v>32</v>
      </c>
    </row>
    <row r="31" spans="1:3" x14ac:dyDescent="0.25">
      <c r="A31" s="1" t="s">
        <v>128</v>
      </c>
      <c r="C31" s="1" t="s">
        <v>32</v>
      </c>
    </row>
    <row r="32" spans="1:3" x14ac:dyDescent="0.25">
      <c r="A32" s="1" t="s">
        <v>68</v>
      </c>
    </row>
    <row r="33" spans="1:3" x14ac:dyDescent="0.25">
      <c r="A33" s="1" t="s">
        <v>125</v>
      </c>
      <c r="B33" s="1" t="s">
        <v>180</v>
      </c>
      <c r="C33" s="1" t="s">
        <v>32</v>
      </c>
    </row>
    <row r="34" spans="1:3" x14ac:dyDescent="0.25">
      <c r="A34" s="1" t="s">
        <v>73</v>
      </c>
      <c r="B34" s="1" t="s">
        <v>178</v>
      </c>
      <c r="C34" s="1" t="s">
        <v>32</v>
      </c>
    </row>
    <row r="35" spans="1:3" x14ac:dyDescent="0.25">
      <c r="A35" s="1" t="s">
        <v>63</v>
      </c>
      <c r="B35" s="1" t="s">
        <v>176</v>
      </c>
      <c r="C35" s="1" t="s">
        <v>57</v>
      </c>
    </row>
    <row r="36" spans="1:3" x14ac:dyDescent="0.25">
      <c r="A36" s="1" t="s">
        <v>94</v>
      </c>
      <c r="B36" s="1" t="s">
        <v>179</v>
      </c>
    </row>
    <row r="37" spans="1:3" x14ac:dyDescent="0.25">
      <c r="A37" s="1" t="s">
        <v>69</v>
      </c>
      <c r="C37" s="1" t="s">
        <v>32</v>
      </c>
    </row>
    <row r="38" spans="1:3" x14ac:dyDescent="0.25">
      <c r="A38" s="1" t="s">
        <v>70</v>
      </c>
      <c r="B38" s="1" t="s">
        <v>71</v>
      </c>
      <c r="C38" s="1" t="s">
        <v>32</v>
      </c>
    </row>
    <row r="39" spans="1:3" x14ac:dyDescent="0.25">
      <c r="A39" s="1" t="s">
        <v>126</v>
      </c>
      <c r="B39" s="1" t="s">
        <v>181</v>
      </c>
      <c r="C39" s="1" t="s">
        <v>32</v>
      </c>
    </row>
    <row r="40" spans="1:3" x14ac:dyDescent="0.25">
      <c r="A40" s="1" t="s">
        <v>124</v>
      </c>
      <c r="B40" s="1">
        <v>505792</v>
      </c>
      <c r="C40" s="1" t="s">
        <v>32</v>
      </c>
    </row>
    <row r="41" spans="1:3" x14ac:dyDescent="0.25">
      <c r="A41" s="1" t="s">
        <v>127</v>
      </c>
      <c r="B41" s="1" t="s">
        <v>182</v>
      </c>
      <c r="C41" s="1" t="s">
        <v>32</v>
      </c>
    </row>
    <row r="42" spans="1:3" x14ac:dyDescent="0.25">
      <c r="A42" s="1" t="s">
        <v>58</v>
      </c>
      <c r="B42" s="1" t="s">
        <v>172</v>
      </c>
      <c r="C42" s="1" t="s">
        <v>32</v>
      </c>
    </row>
    <row r="43" spans="1:3" x14ac:dyDescent="0.25">
      <c r="A43" s="1" t="s">
        <v>59</v>
      </c>
      <c r="B43" s="1" t="s">
        <v>173</v>
      </c>
      <c r="C43" s="1" t="s">
        <v>32</v>
      </c>
    </row>
    <row r="44" spans="1:3" x14ac:dyDescent="0.25">
      <c r="A44" s="1" t="s">
        <v>62</v>
      </c>
      <c r="B44" s="1" t="s">
        <v>175</v>
      </c>
      <c r="C44" s="1" t="s">
        <v>32</v>
      </c>
    </row>
    <row r="45" spans="1:3" x14ac:dyDescent="0.25">
      <c r="A45" s="1" t="s">
        <v>61</v>
      </c>
      <c r="B45" s="1">
        <v>37130</v>
      </c>
      <c r="C45" s="1" t="s">
        <v>32</v>
      </c>
    </row>
    <row r="46" spans="1:3" x14ac:dyDescent="0.25">
      <c r="A46" s="1" t="s">
        <v>92</v>
      </c>
      <c r="B46" s="1" t="s">
        <v>93</v>
      </c>
      <c r="C46" s="1" t="s">
        <v>32</v>
      </c>
    </row>
    <row r="47" spans="1:3" x14ac:dyDescent="0.25">
      <c r="A47" s="1" t="s">
        <v>65</v>
      </c>
      <c r="B47" s="1" t="s">
        <v>177</v>
      </c>
      <c r="C47" s="1" t="s">
        <v>32</v>
      </c>
    </row>
    <row r="48" spans="1:3" x14ac:dyDescent="0.25">
      <c r="A48" s="1" t="s">
        <v>67</v>
      </c>
      <c r="C48" s="1" t="s">
        <v>32</v>
      </c>
    </row>
    <row r="49" spans="1:3" x14ac:dyDescent="0.25">
      <c r="A49" s="1" t="s">
        <v>74</v>
      </c>
      <c r="B49" s="1" t="s">
        <v>171</v>
      </c>
      <c r="C49" s="1" t="s">
        <v>32</v>
      </c>
    </row>
    <row r="50" spans="1:3" x14ac:dyDescent="0.25">
      <c r="A50" s="1" t="s">
        <v>60</v>
      </c>
      <c r="B50" s="1" t="s">
        <v>174</v>
      </c>
      <c r="C50" s="1" t="s">
        <v>32</v>
      </c>
    </row>
    <row r="51" spans="1:3" x14ac:dyDescent="0.25">
      <c r="A51" s="1" t="s">
        <v>75</v>
      </c>
      <c r="B51" s="1" t="s">
        <v>76</v>
      </c>
      <c r="C51" s="1" t="s">
        <v>32</v>
      </c>
    </row>
    <row r="52" spans="1:3" x14ac:dyDescent="0.25">
      <c r="A52" s="1" t="s">
        <v>77</v>
      </c>
      <c r="B52" s="1" t="s">
        <v>78</v>
      </c>
      <c r="C52" s="1" t="s">
        <v>32</v>
      </c>
    </row>
    <row r="53" spans="1:3" x14ac:dyDescent="0.25">
      <c r="A53" s="1" t="s">
        <v>79</v>
      </c>
      <c r="B53" s="1" t="s">
        <v>80</v>
      </c>
      <c r="C53" s="1" t="s">
        <v>32</v>
      </c>
    </row>
    <row r="54" spans="1:3" x14ac:dyDescent="0.25">
      <c r="A54" s="1" t="s">
        <v>81</v>
      </c>
      <c r="B54" s="1" t="s">
        <v>82</v>
      </c>
      <c r="C54" s="1" t="s">
        <v>32</v>
      </c>
    </row>
    <row r="55" spans="1:3" x14ac:dyDescent="0.25">
      <c r="A55" s="1" t="s">
        <v>83</v>
      </c>
      <c r="B55" s="1" t="s">
        <v>84</v>
      </c>
      <c r="C55" s="1" t="s">
        <v>32</v>
      </c>
    </row>
    <row r="56" spans="1:3" x14ac:dyDescent="0.25">
      <c r="A56" s="1" t="s">
        <v>91</v>
      </c>
      <c r="C56" s="1" t="s">
        <v>32</v>
      </c>
    </row>
    <row r="57" spans="1:3" x14ac:dyDescent="0.25">
      <c r="A57" s="1" t="s">
        <v>85</v>
      </c>
      <c r="B57" s="1" t="s">
        <v>38</v>
      </c>
    </row>
    <row r="58" spans="1:3" x14ac:dyDescent="0.25">
      <c r="A58" s="1" t="s">
        <v>86</v>
      </c>
      <c r="B58" s="1" t="s">
        <v>55</v>
      </c>
    </row>
    <row r="59" spans="1:3" x14ac:dyDescent="0.25">
      <c r="A59" s="1" t="s">
        <v>90</v>
      </c>
      <c r="B59" s="1" t="s">
        <v>51</v>
      </c>
    </row>
    <row r="60" spans="1:3" x14ac:dyDescent="0.25">
      <c r="A60" s="1" t="s">
        <v>87</v>
      </c>
      <c r="B60" s="1" t="s">
        <v>42</v>
      </c>
    </row>
    <row r="61" spans="1:3" x14ac:dyDescent="0.25">
      <c r="A61" s="1" t="s">
        <v>88</v>
      </c>
      <c r="B61" s="1" t="s">
        <v>45</v>
      </c>
    </row>
    <row r="62" spans="1:3" x14ac:dyDescent="0.25">
      <c r="A62" s="1" t="s">
        <v>89</v>
      </c>
      <c r="B62" s="1">
        <v>2608</v>
      </c>
    </row>
    <row r="63" spans="1:3" x14ac:dyDescent="0.25">
      <c r="A63" s="1" t="s">
        <v>13</v>
      </c>
      <c r="B63" s="1" t="s">
        <v>163</v>
      </c>
    </row>
    <row r="64" spans="1:3" x14ac:dyDescent="0.25">
      <c r="A64" s="1" t="s">
        <v>29</v>
      </c>
      <c r="B64" s="1" t="s">
        <v>168</v>
      </c>
    </row>
    <row r="65" spans="1:3" x14ac:dyDescent="0.25">
      <c r="A65" s="1" t="s">
        <v>8</v>
      </c>
      <c r="B65" s="1" t="s">
        <v>162</v>
      </c>
      <c r="C65" s="1" t="s">
        <v>9</v>
      </c>
    </row>
    <row r="66" spans="1:3" x14ac:dyDescent="0.25">
      <c r="A66" s="1" t="s">
        <v>98</v>
      </c>
      <c r="B66" s="1" t="s">
        <v>38</v>
      </c>
      <c r="C66" s="1" t="s">
        <v>32</v>
      </c>
    </row>
    <row r="67" spans="1:3" x14ac:dyDescent="0.25">
      <c r="A67" s="1" t="s">
        <v>99</v>
      </c>
      <c r="B67" s="1" t="s">
        <v>51</v>
      </c>
      <c r="C67" s="1" t="s">
        <v>32</v>
      </c>
    </row>
    <row r="68" spans="1:3" x14ac:dyDescent="0.25">
      <c r="A68" s="1" t="s">
        <v>100</v>
      </c>
      <c r="B68" s="1" t="s">
        <v>47</v>
      </c>
      <c r="C68" s="1" t="s">
        <v>32</v>
      </c>
    </row>
    <row r="69" spans="1:3" x14ac:dyDescent="0.25">
      <c r="A69" s="1" t="s">
        <v>101</v>
      </c>
      <c r="B69" s="1" t="s">
        <v>45</v>
      </c>
      <c r="C69" s="1" t="s">
        <v>32</v>
      </c>
    </row>
    <row r="70" spans="1:3" x14ac:dyDescent="0.25">
      <c r="A70" s="1" t="s">
        <v>104</v>
      </c>
      <c r="B70" s="1" t="s">
        <v>42</v>
      </c>
      <c r="C70" s="1" t="s">
        <v>32</v>
      </c>
    </row>
    <row r="71" spans="1:3" x14ac:dyDescent="0.25">
      <c r="A71" s="1" t="s">
        <v>112</v>
      </c>
      <c r="B71" s="1" t="s">
        <v>71</v>
      </c>
      <c r="C71" s="1" t="s">
        <v>32</v>
      </c>
    </row>
    <row r="72" spans="1:3" x14ac:dyDescent="0.25">
      <c r="A72" s="1" t="s">
        <v>105</v>
      </c>
      <c r="B72" s="1" t="s">
        <v>76</v>
      </c>
      <c r="C72" s="1" t="s">
        <v>32</v>
      </c>
    </row>
    <row r="73" spans="1:3" x14ac:dyDescent="0.25">
      <c r="A73" s="1" t="s">
        <v>117</v>
      </c>
      <c r="B73" s="1" t="s">
        <v>76</v>
      </c>
    </row>
    <row r="74" spans="1:3" x14ac:dyDescent="0.25">
      <c r="A74" s="1" t="s">
        <v>106</v>
      </c>
      <c r="B74" s="1" t="s">
        <v>78</v>
      </c>
      <c r="C74" s="1" t="s">
        <v>32</v>
      </c>
    </row>
    <row r="75" spans="1:3" x14ac:dyDescent="0.25">
      <c r="A75" s="1" t="s">
        <v>118</v>
      </c>
      <c r="B75" s="1" t="s">
        <v>119</v>
      </c>
    </row>
    <row r="76" spans="1:3" x14ac:dyDescent="0.25">
      <c r="A76" s="1" t="s">
        <v>107</v>
      </c>
      <c r="B76" s="1" t="s">
        <v>80</v>
      </c>
      <c r="C76" s="1" t="s">
        <v>32</v>
      </c>
    </row>
    <row r="77" spans="1:3" x14ac:dyDescent="0.25">
      <c r="A77" s="1" t="s">
        <v>120</v>
      </c>
      <c r="B77" s="1" t="s">
        <v>80</v>
      </c>
    </row>
    <row r="78" spans="1:3" x14ac:dyDescent="0.25">
      <c r="A78" s="1" t="s">
        <v>108</v>
      </c>
      <c r="B78" s="1" t="s">
        <v>82</v>
      </c>
      <c r="C78" s="1" t="s">
        <v>32</v>
      </c>
    </row>
    <row r="79" spans="1:3" x14ac:dyDescent="0.25">
      <c r="A79" s="1" t="s">
        <v>121</v>
      </c>
      <c r="B79" s="1" t="s">
        <v>82</v>
      </c>
    </row>
    <row r="80" spans="1:3" x14ac:dyDescent="0.25">
      <c r="A80" s="1" t="s">
        <v>109</v>
      </c>
      <c r="B80" s="1" t="s">
        <v>84</v>
      </c>
      <c r="C80" s="1" t="s">
        <v>32</v>
      </c>
    </row>
    <row r="81" spans="1:3" x14ac:dyDescent="0.25">
      <c r="A81" s="1" t="s">
        <v>122</v>
      </c>
      <c r="B81" s="1" t="s">
        <v>84</v>
      </c>
    </row>
    <row r="82" spans="1:3" x14ac:dyDescent="0.25">
      <c r="A82" s="1" t="s">
        <v>103</v>
      </c>
      <c r="B82" s="1" t="s">
        <v>40</v>
      </c>
      <c r="C82" s="1" t="s">
        <v>32</v>
      </c>
    </row>
    <row r="83" spans="1:3" x14ac:dyDescent="0.25">
      <c r="A83" s="1" t="s">
        <v>102</v>
      </c>
      <c r="B83" s="1">
        <v>2608</v>
      </c>
      <c r="C83" s="1" t="s">
        <v>32</v>
      </c>
    </row>
    <row r="84" spans="1:3" x14ac:dyDescent="0.25">
      <c r="A84" s="1" t="s">
        <v>159</v>
      </c>
    </row>
    <row r="85" spans="1:3" x14ac:dyDescent="0.25">
      <c r="A85" s="1" t="s">
        <v>26</v>
      </c>
      <c r="B85" s="1" t="s">
        <v>15</v>
      </c>
    </row>
    <row r="86" spans="1:3" x14ac:dyDescent="0.25">
      <c r="A86" s="1" t="s">
        <v>11</v>
      </c>
      <c r="B86" s="1" t="s">
        <v>12</v>
      </c>
    </row>
    <row r="87" spans="1:3" x14ac:dyDescent="0.25">
      <c r="A87" s="1" t="s">
        <v>30</v>
      </c>
      <c r="B87" s="1" t="s">
        <v>15</v>
      </c>
    </row>
    <row r="88" spans="1:3" x14ac:dyDescent="0.25">
      <c r="A88" s="1" t="s">
        <v>19</v>
      </c>
      <c r="B88" s="1" t="s">
        <v>166</v>
      </c>
    </row>
    <row r="89" spans="1:3" x14ac:dyDescent="0.25">
      <c r="A89" s="1" t="s">
        <v>137</v>
      </c>
      <c r="B89" s="1" t="s">
        <v>184</v>
      </c>
      <c r="C89" s="1" t="s">
        <v>57</v>
      </c>
    </row>
    <row r="90" spans="1:3" x14ac:dyDescent="0.25">
      <c r="A90" s="1" t="s">
        <v>154</v>
      </c>
    </row>
    <row r="91" spans="1:3" x14ac:dyDescent="0.25">
      <c r="A91" s="1" t="s">
        <v>155</v>
      </c>
    </row>
    <row r="92" spans="1:3" x14ac:dyDescent="0.25">
      <c r="A92" s="1" t="s">
        <v>156</v>
      </c>
    </row>
    <row r="93" spans="1:3" x14ac:dyDescent="0.25">
      <c r="A93" s="1" t="s">
        <v>157</v>
      </c>
    </row>
    <row r="94" spans="1:3" x14ac:dyDescent="0.25">
      <c r="A94" s="1" t="s">
        <v>158</v>
      </c>
    </row>
    <row r="95" spans="1:3" x14ac:dyDescent="0.25">
      <c r="A95" s="1" t="s">
        <v>150</v>
      </c>
      <c r="B95" s="1" t="s">
        <v>38</v>
      </c>
      <c r="C95" s="1" t="s">
        <v>32</v>
      </c>
    </row>
    <row r="96" spans="1:3" x14ac:dyDescent="0.25">
      <c r="A96" s="1" t="s">
        <v>149</v>
      </c>
      <c r="B96" s="1" t="s">
        <v>55</v>
      </c>
      <c r="C96" s="1" t="s">
        <v>32</v>
      </c>
    </row>
    <row r="97" spans="1:3" x14ac:dyDescent="0.25">
      <c r="A97" s="1" t="s">
        <v>153</v>
      </c>
      <c r="B97" s="1" t="s">
        <v>180</v>
      </c>
      <c r="C97" s="1" t="s">
        <v>32</v>
      </c>
    </row>
    <row r="98" spans="1:3" x14ac:dyDescent="0.25">
      <c r="A98" s="1" t="s">
        <v>134</v>
      </c>
      <c r="B98" s="1" t="s">
        <v>176</v>
      </c>
      <c r="C98" s="1" t="s">
        <v>32</v>
      </c>
    </row>
    <row r="99" spans="1:3" x14ac:dyDescent="0.25">
      <c r="A99" s="1" t="s">
        <v>151</v>
      </c>
      <c r="B99" s="1" t="s">
        <v>181</v>
      </c>
      <c r="C99" s="1" t="s">
        <v>32</v>
      </c>
    </row>
    <row r="100" spans="1:3" x14ac:dyDescent="0.25">
      <c r="A100" s="1" t="s">
        <v>152</v>
      </c>
      <c r="B100" s="1" t="s">
        <v>182</v>
      </c>
      <c r="C100" s="1" t="s">
        <v>32</v>
      </c>
    </row>
    <row r="101" spans="1:3" x14ac:dyDescent="0.25">
      <c r="A101" s="1" t="s">
        <v>129</v>
      </c>
      <c r="B101" s="1" t="s">
        <v>173</v>
      </c>
      <c r="C101" s="1" t="s">
        <v>32</v>
      </c>
    </row>
    <row r="102" spans="1:3" x14ac:dyDescent="0.25">
      <c r="A102" s="1" t="s">
        <v>133</v>
      </c>
      <c r="B102" s="1" t="s">
        <v>175</v>
      </c>
      <c r="C102" s="1" t="s">
        <v>32</v>
      </c>
    </row>
    <row r="103" spans="1:3" x14ac:dyDescent="0.25">
      <c r="A103" s="1" t="s">
        <v>132</v>
      </c>
      <c r="B103" s="1">
        <v>37130</v>
      </c>
      <c r="C103" s="1" t="s">
        <v>32</v>
      </c>
    </row>
    <row r="104" spans="1:3" x14ac:dyDescent="0.25">
      <c r="A104" s="1" t="s">
        <v>131</v>
      </c>
      <c r="B104" s="1" t="s">
        <v>183</v>
      </c>
      <c r="C104" s="1" t="s">
        <v>32</v>
      </c>
    </row>
    <row r="105" spans="1:3" x14ac:dyDescent="0.25">
      <c r="A105" s="1" t="s">
        <v>130</v>
      </c>
      <c r="B105" s="1" t="s">
        <v>174</v>
      </c>
      <c r="C105" s="1" t="s">
        <v>32</v>
      </c>
    </row>
    <row r="106" spans="1:3" x14ac:dyDescent="0.25">
      <c r="A106" s="1" t="s">
        <v>136</v>
      </c>
      <c r="B106" s="1" t="s">
        <v>42</v>
      </c>
      <c r="C106" s="1" t="s">
        <v>32</v>
      </c>
    </row>
    <row r="107" spans="1:3" x14ac:dyDescent="0.25">
      <c r="A107" s="1" t="s">
        <v>135</v>
      </c>
      <c r="B107" s="1" t="s">
        <v>38</v>
      </c>
      <c r="C107" s="1" t="s">
        <v>32</v>
      </c>
    </row>
    <row r="108" spans="1:3" x14ac:dyDescent="0.25">
      <c r="A108" s="1" t="s">
        <v>143</v>
      </c>
      <c r="B108" s="1" t="s">
        <v>55</v>
      </c>
    </row>
    <row r="109" spans="1:3" x14ac:dyDescent="0.25">
      <c r="A109" s="1" t="s">
        <v>144</v>
      </c>
      <c r="B109" s="1" t="s">
        <v>186</v>
      </c>
    </row>
    <row r="110" spans="1:3" x14ac:dyDescent="0.25">
      <c r="A110" s="1" t="s">
        <v>145</v>
      </c>
      <c r="B110" s="1" t="s">
        <v>187</v>
      </c>
    </row>
    <row r="111" spans="1:3" x14ac:dyDescent="0.25">
      <c r="A111" s="1" t="s">
        <v>146</v>
      </c>
      <c r="B111" s="1" t="s">
        <v>188</v>
      </c>
    </row>
    <row r="112" spans="1:3" x14ac:dyDescent="0.25">
      <c r="A112" s="1" t="s">
        <v>147</v>
      </c>
    </row>
    <row r="113" spans="1:3" x14ac:dyDescent="0.25">
      <c r="A113" s="1" t="s">
        <v>148</v>
      </c>
      <c r="B113" s="1" t="s">
        <v>189</v>
      </c>
    </row>
    <row r="114" spans="1:3" x14ac:dyDescent="0.25">
      <c r="A114" s="1" t="s">
        <v>33</v>
      </c>
      <c r="B114" s="2" t="s">
        <v>170</v>
      </c>
      <c r="C114" s="1" t="s">
        <v>32</v>
      </c>
    </row>
    <row r="115" spans="1:3" x14ac:dyDescent="0.25">
      <c r="A115" s="1" t="s">
        <v>36</v>
      </c>
    </row>
    <row r="116" spans="1:3" x14ac:dyDescent="0.25">
      <c r="A116" s="1" t="s">
        <v>35</v>
      </c>
      <c r="B116" s="1">
        <v>2017359</v>
      </c>
    </row>
    <row r="117" spans="1:3" x14ac:dyDescent="0.25">
      <c r="A117" s="1" t="s">
        <v>113</v>
      </c>
      <c r="C117" s="1" t="s">
        <v>32</v>
      </c>
    </row>
    <row r="118" spans="1:3" x14ac:dyDescent="0.25">
      <c r="A118" s="1" t="s">
        <v>31</v>
      </c>
      <c r="B118" s="1" t="s">
        <v>169</v>
      </c>
      <c r="C118" s="1" t="s">
        <v>32</v>
      </c>
    </row>
    <row r="119" spans="1:3" x14ac:dyDescent="0.25">
      <c r="A119" s="1" t="s">
        <v>34</v>
      </c>
      <c r="B119" s="1" t="s">
        <v>171</v>
      </c>
    </row>
    <row r="120" spans="1:3" x14ac:dyDescent="0.25">
      <c r="A120" s="1" t="s">
        <v>140</v>
      </c>
      <c r="B120" s="2" t="s">
        <v>55</v>
      </c>
      <c r="C120" s="1" t="s">
        <v>32</v>
      </c>
    </row>
    <row r="121" spans="1:3" x14ac:dyDescent="0.25">
      <c r="A121" s="1" t="s">
        <v>141</v>
      </c>
      <c r="B121" s="1" t="s">
        <v>38</v>
      </c>
      <c r="C121" s="1" t="s">
        <v>32</v>
      </c>
    </row>
    <row r="122" spans="1:3" x14ac:dyDescent="0.25">
      <c r="A122" s="1" t="s">
        <v>142</v>
      </c>
      <c r="B122" s="1" t="s">
        <v>185</v>
      </c>
      <c r="C122" s="1" t="s">
        <v>32</v>
      </c>
    </row>
    <row r="123" spans="1:3" x14ac:dyDescent="0.25">
      <c r="A123" s="1" t="s">
        <v>20</v>
      </c>
      <c r="B123" s="1" t="s">
        <v>15</v>
      </c>
    </row>
    <row r="124" spans="1:3" x14ac:dyDescent="0.25">
      <c r="A124" s="1" t="s">
        <v>21</v>
      </c>
      <c r="B124" s="1" t="s">
        <v>22</v>
      </c>
    </row>
    <row r="125" spans="1:3" x14ac:dyDescent="0.25">
      <c r="A125" s="1" t="s">
        <v>114</v>
      </c>
      <c r="B125" s="1" t="s">
        <v>115</v>
      </c>
      <c r="C125" s="1" t="s">
        <v>32</v>
      </c>
    </row>
  </sheetData>
  <sortState ref="A1:C125">
    <sortCondition ref="A1"/>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00"/>
  <sheetViews>
    <sheetView showGridLines="0" tabSelected="1" zoomScaleNormal="100" workbookViewId="0">
      <selection activeCell="A9" sqref="A9"/>
    </sheetView>
  </sheetViews>
  <sheetFormatPr baseColWidth="10" defaultRowHeight="15" x14ac:dyDescent="0.25"/>
  <cols>
    <col min="1" max="1" width="29.5703125" customWidth="1"/>
    <col min="2" max="2" width="4.5703125" customWidth="1"/>
    <col min="3" max="3" width="35.28515625" customWidth="1"/>
    <col min="4" max="4" width="10.7109375" customWidth="1"/>
    <col min="5" max="5" width="15.7109375" customWidth="1"/>
    <col min="6" max="6" width="4.7109375" customWidth="1"/>
    <col min="7" max="7" width="15.42578125" customWidth="1"/>
    <col min="8" max="8" width="7.85546875" customWidth="1"/>
    <col min="9" max="9" width="17.42578125" customWidth="1"/>
    <col min="10" max="10" width="12.42578125" hidden="1" customWidth="1"/>
    <col min="11" max="17" width="11.42578125" style="4"/>
    <col min="18" max="18" width="11.42578125" hidden="1" customWidth="1"/>
    <col min="19" max="20" width="11.42578125" style="9" hidden="1" customWidth="1"/>
  </cols>
  <sheetData>
    <row r="1" spans="1:20" ht="27.75" customHeight="1" thickBot="1" x14ac:dyDescent="0.3">
      <c r="A1" s="92"/>
      <c r="B1" s="92"/>
      <c r="C1" s="92"/>
      <c r="D1" s="92"/>
      <c r="E1" s="92"/>
      <c r="F1" s="92"/>
      <c r="G1" s="92"/>
      <c r="H1" s="92"/>
      <c r="I1" s="92"/>
    </row>
    <row r="2" spans="1:20" ht="21.75" thickBot="1" x14ac:dyDescent="0.3">
      <c r="A2" s="93" t="s">
        <v>226</v>
      </c>
      <c r="B2" s="93"/>
      <c r="C2" s="93"/>
      <c r="D2" s="93"/>
      <c r="E2" s="93"/>
      <c r="F2" s="93"/>
      <c r="G2" s="93"/>
      <c r="H2" s="93"/>
      <c r="I2" s="93"/>
      <c r="K2" s="96" t="s">
        <v>240</v>
      </c>
      <c r="L2" s="97"/>
      <c r="M2" s="97"/>
      <c r="N2" s="97"/>
      <c r="O2" s="97"/>
      <c r="P2" s="97"/>
      <c r="Q2" s="98"/>
      <c r="S2" s="76" t="s">
        <v>160</v>
      </c>
      <c r="T2" s="73" t="s">
        <v>208</v>
      </c>
    </row>
    <row r="3" spans="1:20" ht="20.25" customHeight="1" x14ac:dyDescent="0.25">
      <c r="A3" s="20"/>
      <c r="B3" s="20"/>
      <c r="C3" s="20"/>
      <c r="D3" s="20"/>
      <c r="E3" s="20"/>
      <c r="F3" s="20"/>
      <c r="G3" s="21" t="s">
        <v>161</v>
      </c>
      <c r="H3" s="82"/>
      <c r="I3" s="5"/>
      <c r="K3" s="110" t="s">
        <v>206</v>
      </c>
      <c r="L3" s="111"/>
      <c r="M3" s="3"/>
      <c r="N3" s="8"/>
      <c r="O3" s="11" t="s">
        <v>4</v>
      </c>
      <c r="P3" s="11"/>
      <c r="Q3" s="12"/>
      <c r="S3" s="77">
        <v>20</v>
      </c>
      <c r="T3" s="74">
        <v>1</v>
      </c>
    </row>
    <row r="4" spans="1:20" x14ac:dyDescent="0.25">
      <c r="A4" s="20" t="s">
        <v>0</v>
      </c>
      <c r="B4" s="112"/>
      <c r="C4" s="113"/>
      <c r="D4" s="113"/>
      <c r="E4" s="114"/>
      <c r="F4" s="114"/>
      <c r="G4" s="115"/>
      <c r="H4" s="59"/>
      <c r="I4" s="59"/>
      <c r="K4" s="13"/>
      <c r="L4" s="11"/>
      <c r="M4" s="3"/>
      <c r="N4" s="14"/>
      <c r="O4" s="11"/>
      <c r="P4" s="11"/>
      <c r="Q4" s="12"/>
      <c r="S4" s="77">
        <v>30</v>
      </c>
      <c r="T4" s="74">
        <v>2</v>
      </c>
    </row>
    <row r="5" spans="1:20" x14ac:dyDescent="0.25">
      <c r="A5" s="20" t="s">
        <v>1</v>
      </c>
      <c r="B5" s="116"/>
      <c r="C5" s="117"/>
      <c r="D5" s="117"/>
      <c r="E5" s="117"/>
      <c r="F5" s="117"/>
      <c r="G5" s="118"/>
      <c r="H5" s="83"/>
      <c r="I5" s="83"/>
      <c r="K5" s="110" t="s">
        <v>207</v>
      </c>
      <c r="L5" s="111"/>
      <c r="M5" s="3"/>
      <c r="N5" s="6"/>
      <c r="O5" s="11" t="s">
        <v>5</v>
      </c>
      <c r="P5" s="11"/>
      <c r="Q5" s="12"/>
      <c r="S5" s="77">
        <v>40</v>
      </c>
      <c r="T5" s="74">
        <v>3</v>
      </c>
    </row>
    <row r="6" spans="1:20" x14ac:dyDescent="0.25">
      <c r="A6" s="20" t="s">
        <v>2</v>
      </c>
      <c r="B6" s="116"/>
      <c r="C6" s="117"/>
      <c r="D6" s="117"/>
      <c r="E6" s="117"/>
      <c r="F6" s="117"/>
      <c r="G6" s="118"/>
      <c r="H6" s="59"/>
      <c r="I6" s="59"/>
      <c r="K6" s="13"/>
      <c r="L6" s="11"/>
      <c r="M6" s="3"/>
      <c r="N6" s="14"/>
      <c r="O6" s="11"/>
      <c r="P6" s="11"/>
      <c r="Q6" s="12"/>
      <c r="S6" s="77">
        <v>50</v>
      </c>
      <c r="T6" s="74">
        <v>4</v>
      </c>
    </row>
    <row r="7" spans="1:20" ht="16.5" customHeight="1" x14ac:dyDescent="0.25">
      <c r="A7" s="20"/>
      <c r="B7" s="20"/>
      <c r="C7" s="20"/>
      <c r="D7" s="20"/>
      <c r="E7" s="20"/>
      <c r="F7" s="20"/>
      <c r="G7" s="20"/>
      <c r="H7" s="20"/>
      <c r="I7" s="20"/>
      <c r="K7" s="13" t="s">
        <v>203</v>
      </c>
      <c r="L7" s="11"/>
      <c r="M7" s="3"/>
      <c r="N7" s="66"/>
      <c r="O7" s="14" t="s">
        <v>6</v>
      </c>
      <c r="P7" s="66"/>
      <c r="Q7" s="12"/>
      <c r="S7" s="77">
        <v>60</v>
      </c>
      <c r="T7" s="74">
        <v>5</v>
      </c>
    </row>
    <row r="8" spans="1:20" ht="15.75" thickBot="1" x14ac:dyDescent="0.3">
      <c r="A8" s="59" t="s">
        <v>3</v>
      </c>
      <c r="B8" s="116"/>
      <c r="C8" s="117"/>
      <c r="D8" s="117"/>
      <c r="E8" s="117"/>
      <c r="F8" s="117"/>
      <c r="G8" s="118"/>
      <c r="H8" s="59"/>
      <c r="I8" s="59"/>
      <c r="K8" s="13"/>
      <c r="L8" s="11"/>
      <c r="M8" s="3"/>
      <c r="N8" s="11"/>
      <c r="O8" s="11"/>
      <c r="P8" s="14"/>
      <c r="Q8" s="12"/>
      <c r="S8" s="78">
        <v>70</v>
      </c>
      <c r="T8" s="74">
        <v>6</v>
      </c>
    </row>
    <row r="9" spans="1:20" ht="15.75" thickBot="1" x14ac:dyDescent="0.3">
      <c r="A9" s="84" t="s">
        <v>248</v>
      </c>
      <c r="B9" s="116"/>
      <c r="C9" s="117"/>
      <c r="D9" s="117"/>
      <c r="E9" s="117"/>
      <c r="F9" s="117"/>
      <c r="G9" s="118"/>
      <c r="H9" s="59"/>
      <c r="I9" s="59"/>
      <c r="K9" s="13" t="s">
        <v>241</v>
      </c>
      <c r="L9" s="11"/>
      <c r="M9" s="11"/>
      <c r="N9" s="69"/>
      <c r="O9" s="14" t="s">
        <v>27</v>
      </c>
      <c r="P9" s="70"/>
      <c r="Q9" s="12" t="s">
        <v>246</v>
      </c>
      <c r="T9" s="74">
        <v>7</v>
      </c>
    </row>
    <row r="10" spans="1:20" ht="15.75" thickBot="1" x14ac:dyDescent="0.3">
      <c r="A10" s="20"/>
      <c r="B10" s="20"/>
      <c r="C10" s="59"/>
      <c r="D10" s="59"/>
      <c r="E10" s="59"/>
      <c r="F10" s="59"/>
      <c r="G10" s="59"/>
      <c r="H10" s="59"/>
      <c r="I10" s="59"/>
      <c r="K10" s="71"/>
      <c r="L10" s="3"/>
      <c r="M10" s="3"/>
      <c r="N10" s="3"/>
      <c r="O10" s="3"/>
      <c r="P10" s="3"/>
      <c r="Q10" s="72"/>
      <c r="S10" s="73" t="s">
        <v>242</v>
      </c>
      <c r="T10" s="74">
        <v>8</v>
      </c>
    </row>
    <row r="11" spans="1:20" ht="15.75" thickBot="1" x14ac:dyDescent="0.3">
      <c r="A11" s="20"/>
      <c r="B11" s="20"/>
      <c r="C11" s="59"/>
      <c r="D11" s="59"/>
      <c r="E11" s="59"/>
      <c r="F11" s="59"/>
      <c r="G11" s="59"/>
      <c r="H11" s="59"/>
      <c r="I11" s="59"/>
      <c r="K11" s="13" t="s">
        <v>247</v>
      </c>
      <c r="L11" s="11"/>
      <c r="M11" s="11"/>
      <c r="N11" s="69"/>
      <c r="O11" s="14" t="s">
        <v>27</v>
      </c>
      <c r="P11" s="70"/>
      <c r="Q11" s="12" t="s">
        <v>246</v>
      </c>
      <c r="S11" s="79" t="s">
        <v>244</v>
      </c>
      <c r="T11" s="74">
        <v>9</v>
      </c>
    </row>
    <row r="12" spans="1:20" x14ac:dyDescent="0.25">
      <c r="A12" s="20"/>
      <c r="B12" s="20"/>
      <c r="C12" s="59"/>
      <c r="D12" s="59"/>
      <c r="E12" s="59"/>
      <c r="F12" s="59"/>
      <c r="G12" s="59"/>
      <c r="H12" s="59"/>
      <c r="I12" s="59"/>
      <c r="K12" s="71"/>
      <c r="L12" s="3"/>
      <c r="M12" s="3"/>
      <c r="N12" s="3"/>
      <c r="O12" s="3"/>
      <c r="P12" s="3"/>
      <c r="Q12" s="72"/>
      <c r="T12" s="74">
        <v>10</v>
      </c>
    </row>
    <row r="13" spans="1:20" ht="23.25" customHeight="1" thickBot="1" x14ac:dyDescent="0.3">
      <c r="A13" s="20"/>
      <c r="B13" s="20"/>
      <c r="C13" s="21"/>
      <c r="D13" s="20"/>
      <c r="E13" s="20"/>
      <c r="F13" s="20"/>
      <c r="G13" s="20"/>
      <c r="H13" s="20"/>
      <c r="I13" s="20"/>
      <c r="K13" s="15" t="s">
        <v>204</v>
      </c>
      <c r="L13" s="16"/>
      <c r="M13" s="17"/>
      <c r="N13" s="16"/>
      <c r="O13" s="16"/>
      <c r="P13" s="7"/>
      <c r="Q13" s="18" t="s">
        <v>7</v>
      </c>
      <c r="T13" s="74">
        <v>11</v>
      </c>
    </row>
    <row r="14" spans="1:20" x14ac:dyDescent="0.25">
      <c r="A14" s="60" t="s">
        <v>201</v>
      </c>
      <c r="B14" s="61"/>
      <c r="C14" s="48">
        <f>G31+G43+G55+G67+G79+G91+G103+G115+G127+G139+G151+G163+G177+G191+G205+G219+G233+G247+G261+G275+G289+G303+G317+G331+G345+G359+G373+G387+G401+G415+G429+G443+G457+G471+G485+G499</f>
        <v>0</v>
      </c>
      <c r="D14" s="99" t="s">
        <v>203</v>
      </c>
      <c r="E14" s="100"/>
      <c r="F14" s="49"/>
      <c r="G14" s="67" t="str">
        <f>IF($N7=0,"rechts erfassen",$N7)</f>
        <v>rechts erfassen</v>
      </c>
      <c r="H14" s="50" t="s">
        <v>6</v>
      </c>
      <c r="I14" s="67" t="str">
        <f>IF($P7=0,"rechts erfassen",$P7)</f>
        <v>rechts erfassen</v>
      </c>
      <c r="S14" s="73" t="s">
        <v>243</v>
      </c>
      <c r="T14" s="74">
        <v>12</v>
      </c>
    </row>
    <row r="15" spans="1:20" ht="15.95" customHeight="1" thickBot="1" x14ac:dyDescent="0.3">
      <c r="A15" s="51"/>
      <c r="B15" s="52"/>
      <c r="C15" s="53"/>
      <c r="D15" s="54"/>
      <c r="E15" s="54"/>
      <c r="F15" s="54"/>
      <c r="G15" s="54"/>
      <c r="H15" s="54"/>
      <c r="I15" s="54"/>
      <c r="S15" s="79" t="s">
        <v>245</v>
      </c>
      <c r="T15" s="74">
        <v>13</v>
      </c>
    </row>
    <row r="16" spans="1:20" ht="15.95" customHeight="1" x14ac:dyDescent="0.25">
      <c r="A16" s="62" t="s">
        <v>196</v>
      </c>
      <c r="B16" s="63"/>
      <c r="C16" s="64">
        <f>I31+I43+I55+I67+I79+I91+I103+I115+I127+I139+I151+I163+I177+I191+I205+I219+I233+I247+I261+I275+I289+I303+I317+I331+I345+I359+I373+I387+I401+I415+I429+I443+I457+I471+I485+I499</f>
        <v>0</v>
      </c>
      <c r="D16" s="54"/>
      <c r="E16" s="101" t="s">
        <v>223</v>
      </c>
      <c r="F16" s="102"/>
      <c r="G16" s="102"/>
      <c r="H16" s="102"/>
      <c r="I16" s="103"/>
      <c r="T16" s="74">
        <v>14</v>
      </c>
    </row>
    <row r="17" spans="1:20" ht="6.75" customHeight="1" x14ac:dyDescent="0.25">
      <c r="A17" s="51"/>
      <c r="B17" s="52"/>
      <c r="C17" s="53"/>
      <c r="D17" s="54"/>
      <c r="E17" s="104"/>
      <c r="F17" s="105"/>
      <c r="G17" s="105"/>
      <c r="H17" s="105"/>
      <c r="I17" s="106"/>
      <c r="T17" s="74">
        <v>15</v>
      </c>
    </row>
    <row r="18" spans="1:20" ht="37.5" customHeight="1" thickBot="1" x14ac:dyDescent="0.35">
      <c r="A18" s="94" t="str">
        <f>IF(C14=C16,"",IF(C14&gt;C16,"Restförderbetrag:",IF(C14&lt;C16,"Erstattungsanspruch gegenüber dem Arbeitgeber:","???")))</f>
        <v/>
      </c>
      <c r="B18" s="95"/>
      <c r="C18" s="65">
        <f>C14-C16</f>
        <v>0</v>
      </c>
      <c r="D18" s="54"/>
      <c r="E18" s="107"/>
      <c r="F18" s="108"/>
      <c r="G18" s="108"/>
      <c r="H18" s="108"/>
      <c r="I18" s="109"/>
      <c r="N18" s="19"/>
      <c r="T18" s="74">
        <v>16</v>
      </c>
    </row>
    <row r="19" spans="1:20" ht="15.95" customHeight="1" thickBot="1" x14ac:dyDescent="0.3">
      <c r="A19" s="55"/>
      <c r="B19" s="55"/>
      <c r="C19" s="54"/>
      <c r="D19" s="54"/>
      <c r="E19" s="4"/>
      <c r="F19" s="4"/>
      <c r="G19" s="4"/>
      <c r="H19" s="4"/>
      <c r="I19" s="4"/>
      <c r="T19" s="74">
        <v>17</v>
      </c>
    </row>
    <row r="20" spans="1:20" ht="15.75" thickBot="1" x14ac:dyDescent="0.3">
      <c r="A20" s="57"/>
      <c r="B20" s="57"/>
      <c r="C20" s="56"/>
      <c r="D20" s="56"/>
      <c r="E20" s="56"/>
      <c r="F20" s="56"/>
      <c r="G20" s="56"/>
      <c r="H20" s="56"/>
      <c r="I20" s="58" t="s">
        <v>190</v>
      </c>
      <c r="T20" s="74">
        <v>18</v>
      </c>
    </row>
    <row r="21" spans="1:20" x14ac:dyDescent="0.25">
      <c r="A21" s="22" t="s">
        <v>228</v>
      </c>
      <c r="B21" s="22"/>
      <c r="C21" s="22"/>
      <c r="D21" s="22"/>
      <c r="E21" s="22"/>
      <c r="F21" s="22"/>
      <c r="G21" s="22"/>
      <c r="H21" s="22"/>
      <c r="I21" s="23"/>
      <c r="J21">
        <v>1</v>
      </c>
      <c r="T21" s="74">
        <v>19</v>
      </c>
    </row>
    <row r="22" spans="1:20" x14ac:dyDescent="0.25">
      <c r="A22" s="24"/>
      <c r="B22" s="24"/>
      <c r="C22" s="25" t="s">
        <v>205</v>
      </c>
      <c r="D22" s="11"/>
      <c r="E22" s="66">
        <f>$N$7</f>
        <v>0</v>
      </c>
      <c r="F22" s="14" t="s">
        <v>6</v>
      </c>
      <c r="G22" s="66">
        <f>EOMONTH($E22,0)</f>
        <v>31</v>
      </c>
      <c r="H22" s="24"/>
      <c r="I22" s="26"/>
      <c r="T22" s="74">
        <v>20</v>
      </c>
    </row>
    <row r="23" spans="1:20" ht="17.25" customHeight="1" x14ac:dyDescent="0.25">
      <c r="A23" s="24"/>
      <c r="B23" s="24"/>
      <c r="C23" s="24"/>
      <c r="D23" s="24"/>
      <c r="E23" s="24"/>
      <c r="F23" s="24"/>
      <c r="G23" s="24"/>
      <c r="H23" s="24"/>
      <c r="I23" s="26"/>
      <c r="T23" s="74">
        <v>21</v>
      </c>
    </row>
    <row r="24" spans="1:20" ht="40.5" customHeight="1" x14ac:dyDescent="0.25">
      <c r="A24" s="27" t="s">
        <v>239</v>
      </c>
      <c r="B24" s="28" t="s">
        <v>197</v>
      </c>
      <c r="C24" s="27" t="s">
        <v>199</v>
      </c>
      <c r="D24" s="28" t="s">
        <v>198</v>
      </c>
      <c r="E24" s="27" t="s">
        <v>202</v>
      </c>
      <c r="F24" s="27" t="s">
        <v>200</v>
      </c>
      <c r="G24" s="28" t="s">
        <v>191</v>
      </c>
      <c r="H24" s="29"/>
      <c r="I24" s="30" t="s">
        <v>192</v>
      </c>
      <c r="T24" s="74">
        <v>22</v>
      </c>
    </row>
    <row r="25" spans="1:20" ht="15.75" thickBot="1" x14ac:dyDescent="0.3">
      <c r="A25" s="10"/>
      <c r="B25" s="31"/>
      <c r="C25" s="14">
        <v>30</v>
      </c>
      <c r="D25" s="11"/>
      <c r="E25" s="14">
        <v>30</v>
      </c>
      <c r="F25" s="11"/>
      <c r="G25" s="32">
        <f>$A25</f>
        <v>0</v>
      </c>
      <c r="H25" s="31"/>
      <c r="I25" s="46">
        <f>IF($P$13=0,0,IF($N$5&gt;=1,$P$13,0))</f>
        <v>0</v>
      </c>
      <c r="T25" s="74">
        <v>23</v>
      </c>
    </row>
    <row r="26" spans="1:20" x14ac:dyDescent="0.25">
      <c r="A26" s="24"/>
      <c r="B26" s="24"/>
      <c r="C26" s="24"/>
      <c r="D26" s="24"/>
      <c r="E26" s="24"/>
      <c r="F26" s="24"/>
      <c r="G26" s="24"/>
      <c r="H26" s="24"/>
      <c r="I26" s="26"/>
      <c r="T26" s="74">
        <v>24</v>
      </c>
    </row>
    <row r="27" spans="1:20" x14ac:dyDescent="0.25">
      <c r="A27" s="31">
        <f>$G25</f>
        <v>0</v>
      </c>
      <c r="B27" s="33"/>
      <c r="C27" s="24" t="s">
        <v>193</v>
      </c>
      <c r="D27" s="24"/>
      <c r="E27" s="24"/>
      <c r="F27" s="24"/>
      <c r="G27" s="24"/>
      <c r="H27" s="24"/>
      <c r="I27" s="26"/>
      <c r="T27" s="74">
        <v>25</v>
      </c>
    </row>
    <row r="28" spans="1:20" ht="15.75" thickBot="1" x14ac:dyDescent="0.3">
      <c r="A28" s="34">
        <f>A27*20/100</f>
        <v>0</v>
      </c>
      <c r="B28" s="35"/>
      <c r="C28" s="36" t="s">
        <v>194</v>
      </c>
      <c r="D28" s="36"/>
      <c r="E28" s="36"/>
      <c r="F28" s="24"/>
      <c r="G28" s="24"/>
      <c r="H28" s="24"/>
      <c r="I28" s="26"/>
      <c r="T28" s="74">
        <v>26</v>
      </c>
    </row>
    <row r="29" spans="1:20" x14ac:dyDescent="0.25">
      <c r="A29" s="37">
        <f>A27+A28</f>
        <v>0</v>
      </c>
      <c r="B29" s="37"/>
      <c r="C29" s="38"/>
      <c r="D29" s="38"/>
      <c r="E29" s="24"/>
      <c r="F29" s="24"/>
      <c r="G29" s="90" t="s">
        <v>211</v>
      </c>
      <c r="H29" s="91"/>
      <c r="I29" s="39" t="s">
        <v>195</v>
      </c>
      <c r="T29" s="74">
        <v>27</v>
      </c>
    </row>
    <row r="30" spans="1:20" x14ac:dyDescent="0.25">
      <c r="A30" s="40" t="str">
        <f>IF($N$3 =0,"erfassen",$N$3)</f>
        <v>erfassen</v>
      </c>
      <c r="B30" s="36"/>
      <c r="C30" s="36" t="s">
        <v>212</v>
      </c>
      <c r="D30" s="36"/>
      <c r="E30" s="36"/>
      <c r="F30" s="24"/>
      <c r="G30" s="88" t="s">
        <v>210</v>
      </c>
      <c r="H30" s="89"/>
      <c r="I30" s="41" t="s">
        <v>209</v>
      </c>
      <c r="M30" s="68"/>
      <c r="T30" s="74">
        <v>28</v>
      </c>
    </row>
    <row r="31" spans="1:20" x14ac:dyDescent="0.25">
      <c r="A31" s="42">
        <f>IF(OR($A29=0,$N$3=0),0,$N$3*$A29/100)</f>
        <v>0</v>
      </c>
      <c r="B31" s="42"/>
      <c r="C31" s="85" t="str">
        <f>IF($A31&lt;=$I25,"Förderung","Förderung, jedoch höchstens lt. Bescheid "&amp; $I25&amp;"€")</f>
        <v>Förderung</v>
      </c>
      <c r="D31" s="85"/>
      <c r="E31" s="85"/>
      <c r="F31" s="37"/>
      <c r="G31" s="86">
        <f>IF($A31&lt;=$I25,$A31, $I25)</f>
        <v>0</v>
      </c>
      <c r="H31" s="87"/>
      <c r="I31" s="47">
        <f>$I25</f>
        <v>0</v>
      </c>
      <c r="T31" s="74">
        <v>29</v>
      </c>
    </row>
    <row r="32" spans="1:20" ht="15.75" thickBot="1" x14ac:dyDescent="0.3">
      <c r="A32" s="44"/>
      <c r="B32" s="44"/>
      <c r="C32" s="44"/>
      <c r="D32" s="44"/>
      <c r="E32" s="44"/>
      <c r="F32" s="44"/>
      <c r="G32" s="43"/>
      <c r="H32" s="44"/>
      <c r="I32" s="45"/>
      <c r="T32" s="74">
        <v>30</v>
      </c>
    </row>
    <row r="33" spans="1:20" x14ac:dyDescent="0.25">
      <c r="A33" s="22" t="s">
        <v>229</v>
      </c>
      <c r="B33" s="22"/>
      <c r="C33" s="22"/>
      <c r="D33" s="22"/>
      <c r="E33" s="22"/>
      <c r="F33" s="22"/>
      <c r="G33" s="22"/>
      <c r="H33" s="22"/>
      <c r="I33" s="23"/>
      <c r="J33">
        <v>2</v>
      </c>
      <c r="T33" s="74">
        <v>31</v>
      </c>
    </row>
    <row r="34" spans="1:20" x14ac:dyDescent="0.25">
      <c r="A34" s="24"/>
      <c r="B34" s="24"/>
      <c r="C34" s="25" t="s">
        <v>205</v>
      </c>
      <c r="D34" s="11"/>
      <c r="E34" s="66">
        <f>(DATE(YEAR(E22),MONTH(E22)+1,1))</f>
        <v>32</v>
      </c>
      <c r="F34" s="14" t="s">
        <v>6</v>
      </c>
      <c r="G34" s="66">
        <f>EOMONTH($E34,0)</f>
        <v>59</v>
      </c>
      <c r="H34" s="24"/>
      <c r="I34" s="26"/>
      <c r="T34" s="74">
        <v>32</v>
      </c>
    </row>
    <row r="35" spans="1:20" x14ac:dyDescent="0.25">
      <c r="A35" s="24"/>
      <c r="B35" s="24"/>
      <c r="C35" s="24"/>
      <c r="D35" s="24"/>
      <c r="E35" s="24"/>
      <c r="F35" s="24"/>
      <c r="G35" s="24"/>
      <c r="H35" s="24"/>
      <c r="I35" s="26"/>
      <c r="T35" s="74">
        <v>33</v>
      </c>
    </row>
    <row r="36" spans="1:20" ht="45" x14ac:dyDescent="0.25">
      <c r="A36" s="27" t="s">
        <v>239</v>
      </c>
      <c r="B36" s="28" t="s">
        <v>197</v>
      </c>
      <c r="C36" s="27" t="s">
        <v>199</v>
      </c>
      <c r="D36" s="28" t="s">
        <v>198</v>
      </c>
      <c r="E36" s="27" t="s">
        <v>202</v>
      </c>
      <c r="F36" s="27" t="s">
        <v>200</v>
      </c>
      <c r="G36" s="28" t="s">
        <v>191</v>
      </c>
      <c r="H36" s="29"/>
      <c r="I36" s="30" t="s">
        <v>192</v>
      </c>
      <c r="T36" s="74">
        <v>34</v>
      </c>
    </row>
    <row r="37" spans="1:20" ht="15.75" thickBot="1" x14ac:dyDescent="0.3">
      <c r="A37" s="10"/>
      <c r="B37" s="31"/>
      <c r="C37" s="14">
        <v>30</v>
      </c>
      <c r="D37" s="11"/>
      <c r="E37" s="14">
        <v>30</v>
      </c>
      <c r="F37" s="11"/>
      <c r="G37" s="32">
        <f>$A37</f>
        <v>0</v>
      </c>
      <c r="H37" s="31"/>
      <c r="I37" s="46">
        <f>IF($P$13=0,0,IF($N$5&gt;=2,$P$13,0))</f>
        <v>0</v>
      </c>
      <c r="T37" s="74">
        <v>35</v>
      </c>
    </row>
    <row r="38" spans="1:20" ht="15.75" thickBot="1" x14ac:dyDescent="0.3">
      <c r="A38" s="24"/>
      <c r="B38" s="24"/>
      <c r="C38" s="24"/>
      <c r="D38" s="24"/>
      <c r="E38" s="24"/>
      <c r="F38" s="24"/>
      <c r="G38" s="24"/>
      <c r="H38" s="24"/>
      <c r="I38" s="26"/>
      <c r="T38" s="75">
        <v>36</v>
      </c>
    </row>
    <row r="39" spans="1:20" x14ac:dyDescent="0.25">
      <c r="A39" s="31">
        <f>$G37</f>
        <v>0</v>
      </c>
      <c r="B39" s="33"/>
      <c r="C39" s="24" t="s">
        <v>193</v>
      </c>
      <c r="D39" s="24"/>
      <c r="E39" s="24"/>
      <c r="F39" s="24"/>
      <c r="G39" s="24"/>
      <c r="H39" s="24"/>
      <c r="I39" s="26"/>
    </row>
    <row r="40" spans="1:20" ht="15.75" thickBot="1" x14ac:dyDescent="0.3">
      <c r="A40" s="34">
        <f>A39*20/100</f>
        <v>0</v>
      </c>
      <c r="B40" s="35"/>
      <c r="C40" s="36" t="s">
        <v>194</v>
      </c>
      <c r="D40" s="36"/>
      <c r="E40" s="36"/>
      <c r="F40" s="24"/>
      <c r="G40" s="24"/>
      <c r="H40" s="24"/>
      <c r="I40" s="26"/>
    </row>
    <row r="41" spans="1:20" x14ac:dyDescent="0.25">
      <c r="A41" s="37">
        <f>A39+A40</f>
        <v>0</v>
      </c>
      <c r="B41" s="37"/>
      <c r="C41" s="38"/>
      <c r="D41" s="38"/>
      <c r="E41" s="24"/>
      <c r="F41" s="24"/>
      <c r="G41" s="90" t="s">
        <v>211</v>
      </c>
      <c r="H41" s="91"/>
      <c r="I41" s="39" t="s">
        <v>195</v>
      </c>
    </row>
    <row r="42" spans="1:20" x14ac:dyDescent="0.25">
      <c r="A42" s="40" t="str">
        <f>IF($N$3 =0,"erfassen",$N$3)</f>
        <v>erfassen</v>
      </c>
      <c r="B42" s="36"/>
      <c r="C42" s="36" t="s">
        <v>212</v>
      </c>
      <c r="D42" s="36"/>
      <c r="E42" s="36"/>
      <c r="F42" s="24"/>
      <c r="G42" s="88" t="s">
        <v>210</v>
      </c>
      <c r="H42" s="89"/>
      <c r="I42" s="41" t="s">
        <v>213</v>
      </c>
    </row>
    <row r="43" spans="1:20" x14ac:dyDescent="0.25">
      <c r="A43" s="42">
        <f>IF(OR($A41=0,$N$3=0),0,$N$3*$A41/100)</f>
        <v>0</v>
      </c>
      <c r="B43" s="42"/>
      <c r="C43" s="85" t="str">
        <f>IF($A43&lt;=$I37,"Förderung","Förderung, jedoch höchstens lt. Bescheid "&amp; $I37&amp;"€")</f>
        <v>Förderung</v>
      </c>
      <c r="D43" s="85"/>
      <c r="E43" s="85"/>
      <c r="F43" s="37"/>
      <c r="G43" s="86">
        <f>IF($A43&lt;=$I37,$A43, $I37)</f>
        <v>0</v>
      </c>
      <c r="H43" s="87"/>
      <c r="I43" s="47">
        <f>IF($N$5&gt;2,$I$37,0)</f>
        <v>0</v>
      </c>
    </row>
    <row r="44" spans="1:20" ht="15.75" thickBot="1" x14ac:dyDescent="0.3">
      <c r="A44" s="44"/>
      <c r="B44" s="44"/>
      <c r="C44" s="44"/>
      <c r="D44" s="44"/>
      <c r="E44" s="44"/>
      <c r="F44" s="44"/>
      <c r="G44" s="43"/>
      <c r="H44" s="44"/>
      <c r="I44" s="45"/>
    </row>
    <row r="45" spans="1:20" x14ac:dyDescent="0.25">
      <c r="A45" s="22" t="s">
        <v>230</v>
      </c>
      <c r="B45" s="22"/>
      <c r="C45" s="22"/>
      <c r="D45" s="22"/>
      <c r="E45" s="22"/>
      <c r="F45" s="22"/>
      <c r="G45" s="22"/>
      <c r="H45" s="22"/>
      <c r="I45" s="23"/>
      <c r="J45">
        <v>3</v>
      </c>
    </row>
    <row r="46" spans="1:20" x14ac:dyDescent="0.25">
      <c r="A46" s="24"/>
      <c r="B46" s="24"/>
      <c r="C46" s="25" t="s">
        <v>205</v>
      </c>
      <c r="D46" s="11"/>
      <c r="E46" s="66">
        <f>(DATE(YEAR(E34),MONTH(E34)+1,1))</f>
        <v>61</v>
      </c>
      <c r="F46" s="14" t="s">
        <v>6</v>
      </c>
      <c r="G46" s="66">
        <f>EOMONTH($E46,0)</f>
        <v>91</v>
      </c>
      <c r="H46" s="24"/>
      <c r="I46" s="26"/>
    </row>
    <row r="47" spans="1:20" x14ac:dyDescent="0.25">
      <c r="A47" s="24"/>
      <c r="B47" s="24"/>
      <c r="C47" s="24"/>
      <c r="D47" s="24"/>
      <c r="E47" s="24"/>
      <c r="F47" s="24"/>
      <c r="G47" s="24"/>
      <c r="H47" s="24"/>
      <c r="I47" s="26"/>
    </row>
    <row r="48" spans="1:20" ht="45" x14ac:dyDescent="0.25">
      <c r="A48" s="27" t="s">
        <v>227</v>
      </c>
      <c r="B48" s="28" t="s">
        <v>197</v>
      </c>
      <c r="C48" s="27" t="s">
        <v>199</v>
      </c>
      <c r="D48" s="28" t="s">
        <v>198</v>
      </c>
      <c r="E48" s="27" t="s">
        <v>202</v>
      </c>
      <c r="F48" s="27" t="s">
        <v>200</v>
      </c>
      <c r="G48" s="28" t="s">
        <v>191</v>
      </c>
      <c r="H48" s="29"/>
      <c r="I48" s="30" t="s">
        <v>192</v>
      </c>
    </row>
    <row r="49" spans="1:10" ht="15.75" thickBot="1" x14ac:dyDescent="0.3">
      <c r="A49" s="10"/>
      <c r="B49" s="31"/>
      <c r="C49" s="14">
        <v>30</v>
      </c>
      <c r="D49" s="11"/>
      <c r="E49" s="14">
        <v>30</v>
      </c>
      <c r="F49" s="11"/>
      <c r="G49" s="32">
        <f>$A49</f>
        <v>0</v>
      </c>
      <c r="H49" s="31"/>
      <c r="I49" s="46">
        <f>IF($P$13=0,0,IF($N$5&gt;=3,$P$13,0))</f>
        <v>0</v>
      </c>
    </row>
    <row r="50" spans="1:10" x14ac:dyDescent="0.25">
      <c r="A50" s="24"/>
      <c r="B50" s="24"/>
      <c r="C50" s="24"/>
      <c r="D50" s="24"/>
      <c r="E50" s="24"/>
      <c r="F50" s="24"/>
      <c r="G50" s="24"/>
      <c r="H50" s="24"/>
      <c r="I50" s="26"/>
    </row>
    <row r="51" spans="1:10" x14ac:dyDescent="0.25">
      <c r="A51" s="31">
        <f>$G49</f>
        <v>0</v>
      </c>
      <c r="B51" s="33"/>
      <c r="C51" s="24" t="s">
        <v>193</v>
      </c>
      <c r="D51" s="24"/>
      <c r="E51" s="24"/>
      <c r="F51" s="24"/>
      <c r="G51" s="24"/>
      <c r="H51" s="24"/>
      <c r="I51" s="26"/>
    </row>
    <row r="52" spans="1:10" ht="15.75" thickBot="1" x14ac:dyDescent="0.3">
      <c r="A52" s="34">
        <f>A51*20/100</f>
        <v>0</v>
      </c>
      <c r="B52" s="35"/>
      <c r="C52" s="36" t="s">
        <v>194</v>
      </c>
      <c r="D52" s="36"/>
      <c r="E52" s="36"/>
      <c r="F52" s="24"/>
      <c r="G52" s="24"/>
      <c r="H52" s="24"/>
      <c r="I52" s="26"/>
    </row>
    <row r="53" spans="1:10" x14ac:dyDescent="0.25">
      <c r="A53" s="37">
        <f>A51+A52</f>
        <v>0</v>
      </c>
      <c r="B53" s="37"/>
      <c r="C53" s="38"/>
      <c r="D53" s="38"/>
      <c r="E53" s="24"/>
      <c r="F53" s="24"/>
      <c r="G53" s="90" t="s">
        <v>211</v>
      </c>
      <c r="H53" s="91"/>
      <c r="I53" s="39" t="s">
        <v>195</v>
      </c>
    </row>
    <row r="54" spans="1:10" x14ac:dyDescent="0.25">
      <c r="A54" s="40" t="str">
        <f>IF($N$3 =0,"erfassen",$N$3)</f>
        <v>erfassen</v>
      </c>
      <c r="B54" s="36"/>
      <c r="C54" s="36" t="s">
        <v>212</v>
      </c>
      <c r="D54" s="36"/>
      <c r="E54" s="36"/>
      <c r="F54" s="24"/>
      <c r="G54" s="88" t="s">
        <v>210</v>
      </c>
      <c r="H54" s="89"/>
      <c r="I54" s="41" t="s">
        <v>214</v>
      </c>
    </row>
    <row r="55" spans="1:10" x14ac:dyDescent="0.25">
      <c r="A55" s="42">
        <f>IF(OR($A53=0,$N$3=0),0,$N$3*$A53/100)</f>
        <v>0</v>
      </c>
      <c r="B55" s="42"/>
      <c r="C55" s="85" t="str">
        <f>IF($A55&lt;=$I49,"Förderung","Förderung, jedoch höchstens lt. Bescheid "&amp; $I49&amp;"€")</f>
        <v>Förderung</v>
      </c>
      <c r="D55" s="85"/>
      <c r="E55" s="85"/>
      <c r="F55" s="37"/>
      <c r="G55" s="86">
        <f>IF($A55&lt;=$I49,$A55, $I49)</f>
        <v>0</v>
      </c>
      <c r="H55" s="87"/>
      <c r="I55" s="47">
        <f>IF($N$5&gt;3,$I$37,0)</f>
        <v>0</v>
      </c>
    </row>
    <row r="56" spans="1:10" ht="15.75" thickBot="1" x14ac:dyDescent="0.3">
      <c r="A56" s="44"/>
      <c r="B56" s="44"/>
      <c r="C56" s="44"/>
      <c r="D56" s="44"/>
      <c r="E56" s="44"/>
      <c r="F56" s="44"/>
      <c r="G56" s="43"/>
      <c r="H56" s="44"/>
      <c r="I56" s="45"/>
    </row>
    <row r="57" spans="1:10" x14ac:dyDescent="0.25">
      <c r="A57" s="22" t="s">
        <v>231</v>
      </c>
      <c r="B57" s="22"/>
      <c r="C57" s="22"/>
      <c r="D57" s="22"/>
      <c r="E57" s="22"/>
      <c r="F57" s="22"/>
      <c r="G57" s="22"/>
      <c r="H57" s="22"/>
      <c r="I57" s="23"/>
      <c r="J57">
        <v>4</v>
      </c>
    </row>
    <row r="58" spans="1:10" x14ac:dyDescent="0.25">
      <c r="A58" s="24"/>
      <c r="B58" s="24"/>
      <c r="C58" s="25" t="s">
        <v>205</v>
      </c>
      <c r="D58" s="11"/>
      <c r="E58" s="66">
        <f>(DATE(YEAR(E46),MONTH(E46)+1,1))</f>
        <v>92</v>
      </c>
      <c r="F58" s="14" t="s">
        <v>6</v>
      </c>
      <c r="G58" s="66">
        <f>EOMONTH($E58,0)</f>
        <v>121</v>
      </c>
      <c r="H58" s="24"/>
      <c r="I58" s="26"/>
    </row>
    <row r="59" spans="1:10" x14ac:dyDescent="0.25">
      <c r="A59" s="24"/>
      <c r="B59" s="24"/>
      <c r="C59" s="24"/>
      <c r="D59" s="24"/>
      <c r="E59" s="24"/>
      <c r="F59" s="24"/>
      <c r="G59" s="24"/>
      <c r="H59" s="24"/>
      <c r="I59" s="26"/>
    </row>
    <row r="60" spans="1:10" ht="45" x14ac:dyDescent="0.25">
      <c r="A60" s="27" t="s">
        <v>227</v>
      </c>
      <c r="B60" s="28" t="s">
        <v>197</v>
      </c>
      <c r="C60" s="27" t="s">
        <v>199</v>
      </c>
      <c r="D60" s="28" t="s">
        <v>198</v>
      </c>
      <c r="E60" s="27" t="s">
        <v>202</v>
      </c>
      <c r="F60" s="27" t="s">
        <v>200</v>
      </c>
      <c r="G60" s="28" t="s">
        <v>191</v>
      </c>
      <c r="H60" s="29"/>
      <c r="I60" s="30" t="s">
        <v>192</v>
      </c>
    </row>
    <row r="61" spans="1:10" ht="15.75" thickBot="1" x14ac:dyDescent="0.3">
      <c r="A61" s="10"/>
      <c r="B61" s="31"/>
      <c r="C61" s="14">
        <v>30</v>
      </c>
      <c r="D61" s="11"/>
      <c r="E61" s="14">
        <v>30</v>
      </c>
      <c r="F61" s="11"/>
      <c r="G61" s="32">
        <f>$A61</f>
        <v>0</v>
      </c>
      <c r="H61" s="31"/>
      <c r="I61" s="46">
        <f>IF($P$13=0,0,IF($N$5&gt;=4,$P$13,0))</f>
        <v>0</v>
      </c>
    </row>
    <row r="62" spans="1:10" x14ac:dyDescent="0.25">
      <c r="A62" s="24"/>
      <c r="B62" s="24"/>
      <c r="C62" s="24"/>
      <c r="D62" s="24"/>
      <c r="E62" s="24"/>
      <c r="F62" s="24"/>
      <c r="G62" s="24"/>
      <c r="H62" s="24"/>
      <c r="I62" s="26"/>
    </row>
    <row r="63" spans="1:10" x14ac:dyDescent="0.25">
      <c r="A63" s="31">
        <f>$G61</f>
        <v>0</v>
      </c>
      <c r="B63" s="33"/>
      <c r="C63" s="24" t="s">
        <v>193</v>
      </c>
      <c r="D63" s="24"/>
      <c r="E63" s="24"/>
      <c r="F63" s="24"/>
      <c r="G63" s="24"/>
      <c r="H63" s="24"/>
      <c r="I63" s="26"/>
    </row>
    <row r="64" spans="1:10" ht="15.75" thickBot="1" x14ac:dyDescent="0.3">
      <c r="A64" s="34">
        <f>A63*20/100</f>
        <v>0</v>
      </c>
      <c r="B64" s="35"/>
      <c r="C64" s="36" t="s">
        <v>194</v>
      </c>
      <c r="D64" s="36"/>
      <c r="E64" s="36"/>
      <c r="F64" s="24"/>
      <c r="G64" s="24"/>
      <c r="H64" s="24"/>
      <c r="I64" s="26"/>
    </row>
    <row r="65" spans="1:10" x14ac:dyDescent="0.25">
      <c r="A65" s="37">
        <f>A63+A64</f>
        <v>0</v>
      </c>
      <c r="B65" s="37"/>
      <c r="C65" s="38"/>
      <c r="D65" s="38"/>
      <c r="E65" s="24"/>
      <c r="F65" s="24"/>
      <c r="G65" s="90" t="s">
        <v>211</v>
      </c>
      <c r="H65" s="91"/>
      <c r="I65" s="39" t="s">
        <v>195</v>
      </c>
    </row>
    <row r="66" spans="1:10" x14ac:dyDescent="0.25">
      <c r="A66" s="40" t="str">
        <f>IF($N$3 =0,"erfassen",$N$3)</f>
        <v>erfassen</v>
      </c>
      <c r="B66" s="36"/>
      <c r="C66" s="36" t="s">
        <v>212</v>
      </c>
      <c r="D66" s="36"/>
      <c r="E66" s="36"/>
      <c r="F66" s="24"/>
      <c r="G66" s="88" t="s">
        <v>210</v>
      </c>
      <c r="H66" s="89"/>
      <c r="I66" s="41" t="s">
        <v>215</v>
      </c>
    </row>
    <row r="67" spans="1:10" x14ac:dyDescent="0.25">
      <c r="A67" s="42">
        <f>IF(OR($A65=0,$N$3=0),0,$N$3*$A65/100)</f>
        <v>0</v>
      </c>
      <c r="B67" s="42"/>
      <c r="C67" s="85" t="str">
        <f>IF($A67&lt;=$I61,"Förderung","Förderung, jedoch höchstens lt. Bescheid "&amp; $I61&amp;"€")</f>
        <v>Förderung</v>
      </c>
      <c r="D67" s="85"/>
      <c r="E67" s="85"/>
      <c r="F67" s="37"/>
      <c r="G67" s="86">
        <f>IF($A67&lt;=$I61,$A67, $I61)</f>
        <v>0</v>
      </c>
      <c r="H67" s="87"/>
      <c r="I67" s="47">
        <f>IF($N$5&gt;4,$I$37,0)</f>
        <v>0</v>
      </c>
    </row>
    <row r="68" spans="1:10" ht="15.75" thickBot="1" x14ac:dyDescent="0.3">
      <c r="A68" s="44"/>
      <c r="B68" s="44"/>
      <c r="C68" s="44"/>
      <c r="D68" s="44"/>
      <c r="E68" s="44"/>
      <c r="F68" s="44"/>
      <c r="G68" s="43"/>
      <c r="H68" s="44"/>
      <c r="I68" s="45"/>
    </row>
    <row r="69" spans="1:10" x14ac:dyDescent="0.25">
      <c r="A69" s="22" t="s">
        <v>232</v>
      </c>
      <c r="B69" s="22"/>
      <c r="C69" s="22"/>
      <c r="D69" s="22"/>
      <c r="E69" s="22"/>
      <c r="F69" s="22"/>
      <c r="G69" s="22"/>
      <c r="H69" s="22"/>
      <c r="I69" s="23"/>
      <c r="J69">
        <v>5</v>
      </c>
    </row>
    <row r="70" spans="1:10" x14ac:dyDescent="0.25">
      <c r="A70" s="24"/>
      <c r="B70" s="24"/>
      <c r="C70" s="25" t="s">
        <v>205</v>
      </c>
      <c r="D70" s="11"/>
      <c r="E70" s="66">
        <f>(DATE(YEAR(E58),MONTH(E58)+1,1))</f>
        <v>122</v>
      </c>
      <c r="F70" s="14" t="s">
        <v>6</v>
      </c>
      <c r="G70" s="66">
        <f>EOMONTH($E70,0)</f>
        <v>152</v>
      </c>
      <c r="H70" s="24"/>
      <c r="I70" s="26"/>
    </row>
    <row r="71" spans="1:10" x14ac:dyDescent="0.25">
      <c r="A71" s="24"/>
      <c r="B71" s="24"/>
      <c r="C71" s="24"/>
      <c r="D71" s="24"/>
      <c r="E71" s="24"/>
      <c r="F71" s="24"/>
      <c r="G71" s="24"/>
      <c r="H71" s="24"/>
      <c r="I71" s="26"/>
    </row>
    <row r="72" spans="1:10" ht="45" x14ac:dyDescent="0.25">
      <c r="A72" s="27" t="s">
        <v>227</v>
      </c>
      <c r="B72" s="28" t="s">
        <v>197</v>
      </c>
      <c r="C72" s="27" t="s">
        <v>199</v>
      </c>
      <c r="D72" s="28" t="s">
        <v>198</v>
      </c>
      <c r="E72" s="27" t="s">
        <v>202</v>
      </c>
      <c r="F72" s="27" t="s">
        <v>200</v>
      </c>
      <c r="G72" s="28" t="s">
        <v>191</v>
      </c>
      <c r="H72" s="29"/>
      <c r="I72" s="30" t="s">
        <v>192</v>
      </c>
    </row>
    <row r="73" spans="1:10" ht="15.75" thickBot="1" x14ac:dyDescent="0.3">
      <c r="A73" s="10"/>
      <c r="B73" s="31"/>
      <c r="C73" s="14">
        <v>30</v>
      </c>
      <c r="D73" s="11"/>
      <c r="E73" s="14">
        <v>30</v>
      </c>
      <c r="F73" s="11"/>
      <c r="G73" s="32">
        <f>$A73</f>
        <v>0</v>
      </c>
      <c r="H73" s="31"/>
      <c r="I73" s="46">
        <f>IF($P$13=0,0,IF($N$5&gt;=5,$P$13,0))</f>
        <v>0</v>
      </c>
    </row>
    <row r="74" spans="1:10" x14ac:dyDescent="0.25">
      <c r="A74" s="24"/>
      <c r="B74" s="24"/>
      <c r="C74" s="24"/>
      <c r="D74" s="24"/>
      <c r="E74" s="24"/>
      <c r="F74" s="24"/>
      <c r="G74" s="24"/>
      <c r="H74" s="24"/>
      <c r="I74" s="26"/>
    </row>
    <row r="75" spans="1:10" x14ac:dyDescent="0.25">
      <c r="A75" s="31">
        <f>$G73</f>
        <v>0</v>
      </c>
      <c r="B75" s="33"/>
      <c r="C75" s="24" t="s">
        <v>193</v>
      </c>
      <c r="D75" s="24"/>
      <c r="E75" s="24"/>
      <c r="F75" s="24"/>
      <c r="G75" s="24"/>
      <c r="H75" s="24"/>
      <c r="I75" s="26"/>
    </row>
    <row r="76" spans="1:10" ht="15.75" thickBot="1" x14ac:dyDescent="0.3">
      <c r="A76" s="34">
        <f>A75*20/100</f>
        <v>0</v>
      </c>
      <c r="B76" s="35"/>
      <c r="C76" s="36" t="s">
        <v>194</v>
      </c>
      <c r="D76" s="36"/>
      <c r="E76" s="36"/>
      <c r="F76" s="24"/>
      <c r="G76" s="24"/>
      <c r="H76" s="24"/>
      <c r="I76" s="26"/>
    </row>
    <row r="77" spans="1:10" x14ac:dyDescent="0.25">
      <c r="A77" s="37">
        <f>A75+A76</f>
        <v>0</v>
      </c>
      <c r="B77" s="37"/>
      <c r="C77" s="38"/>
      <c r="D77" s="38"/>
      <c r="E77" s="24"/>
      <c r="F77" s="24"/>
      <c r="G77" s="90" t="s">
        <v>211</v>
      </c>
      <c r="H77" s="91"/>
      <c r="I77" s="39" t="s">
        <v>195</v>
      </c>
    </row>
    <row r="78" spans="1:10" x14ac:dyDescent="0.25">
      <c r="A78" s="40" t="str">
        <f>IF($N$3 =0,"erfassen",$N$3)</f>
        <v>erfassen</v>
      </c>
      <c r="B78" s="36"/>
      <c r="C78" s="36" t="s">
        <v>212</v>
      </c>
      <c r="D78" s="36"/>
      <c r="E78" s="36"/>
      <c r="F78" s="24"/>
      <c r="G78" s="88" t="s">
        <v>210</v>
      </c>
      <c r="H78" s="89"/>
      <c r="I78" s="41" t="s">
        <v>216</v>
      </c>
    </row>
    <row r="79" spans="1:10" x14ac:dyDescent="0.25">
      <c r="A79" s="42">
        <f>IF(OR($A77=0,$N$3=0),,$N$3*$A77/100)</f>
        <v>0</v>
      </c>
      <c r="B79" s="42"/>
      <c r="C79" s="85" t="str">
        <f>IF($A79&lt;=$I73,"Förderung","Förderung, jedoch höchstens lt. Bescheid "&amp; $I73&amp;"€")</f>
        <v>Förderung</v>
      </c>
      <c r="D79" s="85"/>
      <c r="E79" s="85"/>
      <c r="F79" s="37"/>
      <c r="G79" s="86">
        <f>IF($A79&lt;=$I73,$A79, $I73)</f>
        <v>0</v>
      </c>
      <c r="H79" s="87"/>
      <c r="I79" s="47">
        <f>IF($N$5&gt;5,$I$37,0)</f>
        <v>0</v>
      </c>
    </row>
    <row r="80" spans="1:10" ht="15.75" thickBot="1" x14ac:dyDescent="0.3">
      <c r="A80" s="44"/>
      <c r="B80" s="44"/>
      <c r="C80" s="44"/>
      <c r="D80" s="44"/>
      <c r="E80" s="44"/>
      <c r="F80" s="44"/>
      <c r="G80" s="43"/>
      <c r="H80" s="44"/>
      <c r="I80" s="45"/>
    </row>
    <row r="81" spans="1:10" x14ac:dyDescent="0.25">
      <c r="A81" s="22" t="s">
        <v>233</v>
      </c>
      <c r="B81" s="22"/>
      <c r="C81" s="22"/>
      <c r="D81" s="22"/>
      <c r="E81" s="22"/>
      <c r="F81" s="22"/>
      <c r="G81" s="22"/>
      <c r="H81" s="22"/>
      <c r="I81" s="23"/>
      <c r="J81">
        <v>6</v>
      </c>
    </row>
    <row r="82" spans="1:10" x14ac:dyDescent="0.25">
      <c r="A82" s="24"/>
      <c r="B82" s="24"/>
      <c r="C82" s="25" t="s">
        <v>205</v>
      </c>
      <c r="D82" s="11"/>
      <c r="E82" s="66">
        <f>(DATE(YEAR(E70),MONTH(E70)+1,1))</f>
        <v>153</v>
      </c>
      <c r="F82" s="14" t="s">
        <v>6</v>
      </c>
      <c r="G82" s="66">
        <f>EOMONTH($E82,0)</f>
        <v>182</v>
      </c>
      <c r="H82" s="24"/>
      <c r="I82" s="26"/>
    </row>
    <row r="83" spans="1:10" x14ac:dyDescent="0.25">
      <c r="A83" s="24"/>
      <c r="B83" s="24"/>
      <c r="C83" s="24"/>
      <c r="D83" s="24"/>
      <c r="E83" s="24"/>
      <c r="F83" s="24"/>
      <c r="G83" s="24"/>
      <c r="H83" s="24"/>
      <c r="I83" s="26"/>
    </row>
    <row r="84" spans="1:10" ht="45" x14ac:dyDescent="0.25">
      <c r="A84" s="27" t="s">
        <v>227</v>
      </c>
      <c r="B84" s="28" t="s">
        <v>197</v>
      </c>
      <c r="C84" s="27" t="s">
        <v>199</v>
      </c>
      <c r="D84" s="28" t="s">
        <v>198</v>
      </c>
      <c r="E84" s="27" t="s">
        <v>202</v>
      </c>
      <c r="F84" s="27" t="s">
        <v>200</v>
      </c>
      <c r="G84" s="28" t="s">
        <v>191</v>
      </c>
      <c r="H84" s="29"/>
      <c r="I84" s="30" t="s">
        <v>192</v>
      </c>
    </row>
    <row r="85" spans="1:10" ht="15.75" thickBot="1" x14ac:dyDescent="0.3">
      <c r="A85" s="10"/>
      <c r="B85" s="31"/>
      <c r="C85" s="14">
        <v>30</v>
      </c>
      <c r="D85" s="11"/>
      <c r="E85" s="14">
        <v>30</v>
      </c>
      <c r="F85" s="11"/>
      <c r="G85" s="32">
        <f>$A85</f>
        <v>0</v>
      </c>
      <c r="H85" s="31"/>
      <c r="I85" s="46">
        <f>IF($P$13=0,0,IF($N$5&gt;=6,$P$13,0))</f>
        <v>0</v>
      </c>
    </row>
    <row r="86" spans="1:10" x14ac:dyDescent="0.25">
      <c r="A86" s="24"/>
      <c r="B86" s="24"/>
      <c r="C86" s="24"/>
      <c r="D86" s="24"/>
      <c r="E86" s="24"/>
      <c r="F86" s="24"/>
      <c r="G86" s="24"/>
      <c r="H86" s="24"/>
      <c r="I86" s="26"/>
    </row>
    <row r="87" spans="1:10" x14ac:dyDescent="0.25">
      <c r="A87" s="31">
        <f>$G85</f>
        <v>0</v>
      </c>
      <c r="B87" s="33"/>
      <c r="C87" s="24" t="s">
        <v>193</v>
      </c>
      <c r="D87" s="24"/>
      <c r="E87" s="24"/>
      <c r="F87" s="24"/>
      <c r="G87" s="24"/>
      <c r="H87" s="24"/>
      <c r="I87" s="26"/>
    </row>
    <row r="88" spans="1:10" ht="15.75" thickBot="1" x14ac:dyDescent="0.3">
      <c r="A88" s="34">
        <f>A87*20/100</f>
        <v>0</v>
      </c>
      <c r="B88" s="35"/>
      <c r="C88" s="36" t="s">
        <v>194</v>
      </c>
      <c r="D88" s="36"/>
      <c r="E88" s="36"/>
      <c r="F88" s="24"/>
      <c r="G88" s="24"/>
      <c r="H88" s="24"/>
      <c r="I88" s="26"/>
    </row>
    <row r="89" spans="1:10" x14ac:dyDescent="0.25">
      <c r="A89" s="37">
        <f>A87+A88</f>
        <v>0</v>
      </c>
      <c r="B89" s="37"/>
      <c r="C89" s="38"/>
      <c r="D89" s="38"/>
      <c r="E89" s="24"/>
      <c r="F89" s="24"/>
      <c r="G89" s="90" t="s">
        <v>211</v>
      </c>
      <c r="H89" s="91"/>
      <c r="I89" s="39" t="s">
        <v>195</v>
      </c>
    </row>
    <row r="90" spans="1:10" x14ac:dyDescent="0.25">
      <c r="A90" s="40" t="str">
        <f>IF($N$3 =0,"erfassen",$N$3)</f>
        <v>erfassen</v>
      </c>
      <c r="B90" s="36"/>
      <c r="C90" s="36" t="s">
        <v>212</v>
      </c>
      <c r="D90" s="36"/>
      <c r="E90" s="36"/>
      <c r="F90" s="24"/>
      <c r="G90" s="88" t="s">
        <v>210</v>
      </c>
      <c r="H90" s="89"/>
      <c r="I90" s="41" t="s">
        <v>217</v>
      </c>
    </row>
    <row r="91" spans="1:10" x14ac:dyDescent="0.25">
      <c r="A91" s="42">
        <f>IF(OR($A89=0,$N$3=0),,$N$3*$A89/100)</f>
        <v>0</v>
      </c>
      <c r="B91" s="42"/>
      <c r="C91" s="85" t="str">
        <f>IF($A91&lt;=$I85,"Förderung","Förderung, jedoch höchstens lt. Bescheid "&amp; $I85&amp;"€")</f>
        <v>Förderung</v>
      </c>
      <c r="D91" s="85"/>
      <c r="E91" s="85"/>
      <c r="F91" s="37"/>
      <c r="G91" s="86">
        <f>IF($A91&lt;=$I85,$A91, $I85)</f>
        <v>0</v>
      </c>
      <c r="H91" s="87"/>
      <c r="I91" s="47">
        <f>IF($N$5&gt;6,$I$37,0)</f>
        <v>0</v>
      </c>
    </row>
    <row r="92" spans="1:10" ht="15.75" thickBot="1" x14ac:dyDescent="0.3">
      <c r="A92" s="44"/>
      <c r="B92" s="44"/>
      <c r="C92" s="44"/>
      <c r="D92" s="44"/>
      <c r="E92" s="44"/>
      <c r="F92" s="44"/>
      <c r="G92" s="43"/>
      <c r="H92" s="44"/>
      <c r="I92" s="45"/>
    </row>
    <row r="93" spans="1:10" x14ac:dyDescent="0.25">
      <c r="A93" s="22" t="s">
        <v>234</v>
      </c>
      <c r="B93" s="22"/>
      <c r="C93" s="22"/>
      <c r="D93" s="22"/>
      <c r="E93" s="22"/>
      <c r="F93" s="22"/>
      <c r="G93" s="22"/>
      <c r="H93" s="22"/>
      <c r="I93" s="23"/>
      <c r="J93">
        <v>7</v>
      </c>
    </row>
    <row r="94" spans="1:10" x14ac:dyDescent="0.25">
      <c r="A94" s="24"/>
      <c r="B94" s="24"/>
      <c r="C94" s="25" t="s">
        <v>205</v>
      </c>
      <c r="D94" s="11"/>
      <c r="E94" s="66">
        <f>(DATE(YEAR(E82),MONTH(E82)+1,1))</f>
        <v>183</v>
      </c>
      <c r="F94" s="14" t="s">
        <v>6</v>
      </c>
      <c r="G94" s="66">
        <f>EOMONTH($E94,0)</f>
        <v>213</v>
      </c>
      <c r="H94" s="24"/>
      <c r="I94" s="26"/>
    </row>
    <row r="95" spans="1:10" x14ac:dyDescent="0.25">
      <c r="A95" s="24"/>
      <c r="B95" s="24"/>
      <c r="C95" s="24"/>
      <c r="D95" s="24"/>
      <c r="E95" s="24"/>
      <c r="F95" s="24"/>
      <c r="G95" s="24"/>
      <c r="H95" s="24"/>
      <c r="I95" s="26"/>
    </row>
    <row r="96" spans="1:10" ht="45" x14ac:dyDescent="0.25">
      <c r="A96" s="27" t="s">
        <v>227</v>
      </c>
      <c r="B96" s="28" t="s">
        <v>197</v>
      </c>
      <c r="C96" s="27" t="s">
        <v>199</v>
      </c>
      <c r="D96" s="28" t="s">
        <v>198</v>
      </c>
      <c r="E96" s="27" t="s">
        <v>202</v>
      </c>
      <c r="F96" s="27" t="s">
        <v>200</v>
      </c>
      <c r="G96" s="28" t="s">
        <v>191</v>
      </c>
      <c r="H96" s="29"/>
      <c r="I96" s="30" t="s">
        <v>192</v>
      </c>
    </row>
    <row r="97" spans="1:10" ht="15.75" thickBot="1" x14ac:dyDescent="0.3">
      <c r="A97" s="10"/>
      <c r="B97" s="31"/>
      <c r="C97" s="14">
        <v>30</v>
      </c>
      <c r="D97" s="11"/>
      <c r="E97" s="14">
        <v>30</v>
      </c>
      <c r="F97" s="11"/>
      <c r="G97" s="32">
        <f>$A97</f>
        <v>0</v>
      </c>
      <c r="H97" s="31"/>
      <c r="I97" s="46">
        <f>IF($P$13=0,0,IF($N$5&gt;=7,$P$13,0))</f>
        <v>0</v>
      </c>
    </row>
    <row r="98" spans="1:10" x14ac:dyDescent="0.25">
      <c r="A98" s="24"/>
      <c r="B98" s="24"/>
      <c r="C98" s="24"/>
      <c r="D98" s="24"/>
      <c r="E98" s="24"/>
      <c r="F98" s="24"/>
      <c r="G98" s="24"/>
      <c r="H98" s="24"/>
      <c r="I98" s="26"/>
    </row>
    <row r="99" spans="1:10" x14ac:dyDescent="0.25">
      <c r="A99" s="31">
        <f>$G97</f>
        <v>0</v>
      </c>
      <c r="B99" s="33"/>
      <c r="C99" s="24" t="s">
        <v>193</v>
      </c>
      <c r="D99" s="24"/>
      <c r="E99" s="24"/>
      <c r="F99" s="24"/>
      <c r="G99" s="24"/>
      <c r="H99" s="24"/>
      <c r="I99" s="26"/>
    </row>
    <row r="100" spans="1:10" ht="15.75" thickBot="1" x14ac:dyDescent="0.3">
      <c r="A100" s="34">
        <f>A99*20/100</f>
        <v>0</v>
      </c>
      <c r="B100" s="35"/>
      <c r="C100" s="36" t="s">
        <v>194</v>
      </c>
      <c r="D100" s="36"/>
      <c r="E100" s="36"/>
      <c r="F100" s="24"/>
      <c r="G100" s="24"/>
      <c r="H100" s="24"/>
      <c r="I100" s="26"/>
    </row>
    <row r="101" spans="1:10" x14ac:dyDescent="0.25">
      <c r="A101" s="37">
        <f>A99+A100</f>
        <v>0</v>
      </c>
      <c r="B101" s="37"/>
      <c r="C101" s="38"/>
      <c r="D101" s="38"/>
      <c r="E101" s="24"/>
      <c r="F101" s="24"/>
      <c r="G101" s="90" t="s">
        <v>211</v>
      </c>
      <c r="H101" s="91"/>
      <c r="I101" s="39" t="s">
        <v>195</v>
      </c>
    </row>
    <row r="102" spans="1:10" x14ac:dyDescent="0.25">
      <c r="A102" s="40" t="str">
        <f>IF($N$3 =0,"erfassen",$N$3)</f>
        <v>erfassen</v>
      </c>
      <c r="B102" s="36"/>
      <c r="C102" s="36" t="s">
        <v>212</v>
      </c>
      <c r="D102" s="36"/>
      <c r="E102" s="36"/>
      <c r="F102" s="24"/>
      <c r="G102" s="88" t="s">
        <v>210</v>
      </c>
      <c r="H102" s="89"/>
      <c r="I102" s="41" t="s">
        <v>218</v>
      </c>
    </row>
    <row r="103" spans="1:10" x14ac:dyDescent="0.25">
      <c r="A103" s="42">
        <f>IF(OR($A101=0,$N$3=0),,$N$3*$A101/100)</f>
        <v>0</v>
      </c>
      <c r="B103" s="42"/>
      <c r="C103" s="85" t="str">
        <f>IF($A103&lt;=$I97,"Förderung","Förderung, jedoch höchstens lt. Bescheid "&amp; $I97&amp;"€")</f>
        <v>Förderung</v>
      </c>
      <c r="D103" s="85"/>
      <c r="E103" s="85"/>
      <c r="F103" s="37"/>
      <c r="G103" s="86">
        <f>IF($A103&lt;=$I97,$A103, $I97)</f>
        <v>0</v>
      </c>
      <c r="H103" s="87"/>
      <c r="I103" s="47">
        <f>IF($N$5&gt;7,$I$37,0)</f>
        <v>0</v>
      </c>
    </row>
    <row r="104" spans="1:10" ht="15.75" thickBot="1" x14ac:dyDescent="0.3">
      <c r="A104" s="44"/>
      <c r="B104" s="44"/>
      <c r="C104" s="44"/>
      <c r="D104" s="44"/>
      <c r="E104" s="44"/>
      <c r="F104" s="44"/>
      <c r="G104" s="43"/>
      <c r="H104" s="44"/>
      <c r="I104" s="45"/>
    </row>
    <row r="105" spans="1:10" x14ac:dyDescent="0.25">
      <c r="A105" s="22" t="s">
        <v>235</v>
      </c>
      <c r="B105" s="22"/>
      <c r="C105" s="22"/>
      <c r="D105" s="22"/>
      <c r="E105" s="22"/>
      <c r="F105" s="22"/>
      <c r="G105" s="22"/>
      <c r="H105" s="22"/>
      <c r="I105" s="23"/>
      <c r="J105">
        <v>8</v>
      </c>
    </row>
    <row r="106" spans="1:10" x14ac:dyDescent="0.25">
      <c r="A106" s="24"/>
      <c r="B106" s="24"/>
      <c r="C106" s="25" t="s">
        <v>205</v>
      </c>
      <c r="D106" s="11"/>
      <c r="E106" s="66">
        <f>(DATE(YEAR(E94),MONTH(E94)+1,1))</f>
        <v>214</v>
      </c>
      <c r="F106" s="14" t="s">
        <v>6</v>
      </c>
      <c r="G106" s="66">
        <f>EOMONTH($E106,0)</f>
        <v>244</v>
      </c>
      <c r="H106" s="24"/>
      <c r="I106" s="26"/>
    </row>
    <row r="107" spans="1:10" x14ac:dyDescent="0.25">
      <c r="A107" s="24"/>
      <c r="B107" s="24"/>
      <c r="C107" s="24"/>
      <c r="D107" s="24"/>
      <c r="E107" s="24"/>
      <c r="F107" s="24"/>
      <c r="G107" s="24"/>
      <c r="H107" s="24"/>
      <c r="I107" s="26"/>
    </row>
    <row r="108" spans="1:10" ht="45" x14ac:dyDescent="0.25">
      <c r="A108" s="27" t="s">
        <v>227</v>
      </c>
      <c r="B108" s="28" t="s">
        <v>197</v>
      </c>
      <c r="C108" s="27" t="s">
        <v>199</v>
      </c>
      <c r="D108" s="28" t="s">
        <v>198</v>
      </c>
      <c r="E108" s="27" t="s">
        <v>202</v>
      </c>
      <c r="F108" s="27" t="s">
        <v>200</v>
      </c>
      <c r="G108" s="28" t="s">
        <v>191</v>
      </c>
      <c r="H108" s="29"/>
      <c r="I108" s="30" t="s">
        <v>192</v>
      </c>
    </row>
    <row r="109" spans="1:10" ht="15.75" thickBot="1" x14ac:dyDescent="0.3">
      <c r="A109" s="10"/>
      <c r="B109" s="31"/>
      <c r="C109" s="14">
        <v>30</v>
      </c>
      <c r="D109" s="11"/>
      <c r="E109" s="14">
        <v>30</v>
      </c>
      <c r="F109" s="11"/>
      <c r="G109" s="32">
        <f>$A109</f>
        <v>0</v>
      </c>
      <c r="H109" s="31"/>
      <c r="I109" s="46">
        <f>IF($P$13=0,0,IF($N$5&gt;=8,$P$13,0))</f>
        <v>0</v>
      </c>
    </row>
    <row r="110" spans="1:10" x14ac:dyDescent="0.25">
      <c r="A110" s="24"/>
      <c r="B110" s="24"/>
      <c r="C110" s="24"/>
      <c r="D110" s="24"/>
      <c r="E110" s="24"/>
      <c r="F110" s="24"/>
      <c r="G110" s="24"/>
      <c r="H110" s="24"/>
      <c r="I110" s="26"/>
    </row>
    <row r="111" spans="1:10" x14ac:dyDescent="0.25">
      <c r="A111" s="31">
        <f>$G109</f>
        <v>0</v>
      </c>
      <c r="B111" s="33"/>
      <c r="C111" s="24" t="s">
        <v>193</v>
      </c>
      <c r="D111" s="24"/>
      <c r="E111" s="24"/>
      <c r="F111" s="24"/>
      <c r="G111" s="24"/>
      <c r="H111" s="24"/>
      <c r="I111" s="26"/>
    </row>
    <row r="112" spans="1:10" ht="15.75" thickBot="1" x14ac:dyDescent="0.3">
      <c r="A112" s="34">
        <f>A111*20/100</f>
        <v>0</v>
      </c>
      <c r="B112" s="35"/>
      <c r="C112" s="36" t="s">
        <v>194</v>
      </c>
      <c r="D112" s="36"/>
      <c r="E112" s="36"/>
      <c r="F112" s="24"/>
      <c r="G112" s="24"/>
      <c r="H112" s="24"/>
      <c r="I112" s="26"/>
    </row>
    <row r="113" spans="1:10" x14ac:dyDescent="0.25">
      <c r="A113" s="37">
        <f>A111+A112</f>
        <v>0</v>
      </c>
      <c r="B113" s="37"/>
      <c r="C113" s="38"/>
      <c r="D113" s="38"/>
      <c r="E113" s="24"/>
      <c r="F113" s="24"/>
      <c r="G113" s="90" t="s">
        <v>211</v>
      </c>
      <c r="H113" s="91"/>
      <c r="I113" s="39" t="s">
        <v>195</v>
      </c>
    </row>
    <row r="114" spans="1:10" x14ac:dyDescent="0.25">
      <c r="A114" s="40" t="str">
        <f>IF($N$3 =0,"erfassen",$N$3)</f>
        <v>erfassen</v>
      </c>
      <c r="B114" s="36"/>
      <c r="C114" s="36" t="s">
        <v>212</v>
      </c>
      <c r="D114" s="36"/>
      <c r="E114" s="36"/>
      <c r="F114" s="24"/>
      <c r="G114" s="88" t="s">
        <v>210</v>
      </c>
      <c r="H114" s="89"/>
      <c r="I114" s="41" t="s">
        <v>219</v>
      </c>
    </row>
    <row r="115" spans="1:10" x14ac:dyDescent="0.25">
      <c r="A115" s="42">
        <f>IF(OR($A113=0,$N$3=0),,$N$3*$A113/100)</f>
        <v>0</v>
      </c>
      <c r="B115" s="42"/>
      <c r="C115" s="85" t="str">
        <f>IF($A115&lt;=$I109,"Förderung","Förderung, jedoch höchstens lt. Bescheid "&amp; $I109&amp;"€")</f>
        <v>Förderung</v>
      </c>
      <c r="D115" s="85"/>
      <c r="E115" s="85"/>
      <c r="F115" s="37"/>
      <c r="G115" s="86">
        <f>IF($A115&lt;=$I109,$A115, $I109)</f>
        <v>0</v>
      </c>
      <c r="H115" s="87"/>
      <c r="I115" s="47">
        <f>IF($N$5&gt;8,$I$37,0)</f>
        <v>0</v>
      </c>
    </row>
    <row r="116" spans="1:10" ht="15.75" thickBot="1" x14ac:dyDescent="0.3">
      <c r="A116" s="44"/>
      <c r="B116" s="44"/>
      <c r="C116" s="44"/>
      <c r="D116" s="44"/>
      <c r="E116" s="44"/>
      <c r="F116" s="44"/>
      <c r="G116" s="43"/>
      <c r="H116" s="44"/>
      <c r="I116" s="45"/>
    </row>
    <row r="117" spans="1:10" x14ac:dyDescent="0.25">
      <c r="A117" s="22" t="s">
        <v>236</v>
      </c>
      <c r="B117" s="22"/>
      <c r="C117" s="22"/>
      <c r="D117" s="22"/>
      <c r="E117" s="22"/>
      <c r="F117" s="22"/>
      <c r="G117" s="22"/>
      <c r="H117" s="22"/>
      <c r="I117" s="23"/>
      <c r="J117">
        <v>9</v>
      </c>
    </row>
    <row r="118" spans="1:10" x14ac:dyDescent="0.25">
      <c r="A118" s="24"/>
      <c r="B118" s="24"/>
      <c r="C118" s="25" t="s">
        <v>205</v>
      </c>
      <c r="D118" s="11"/>
      <c r="E118" s="66">
        <f>(DATE(YEAR(E106),MONTH(E106)+1,1))</f>
        <v>245</v>
      </c>
      <c r="F118" s="14" t="s">
        <v>6</v>
      </c>
      <c r="G118" s="66">
        <f>EOMONTH($E118,0)</f>
        <v>274</v>
      </c>
      <c r="H118" s="24"/>
      <c r="I118" s="26"/>
    </row>
    <row r="119" spans="1:10" x14ac:dyDescent="0.25">
      <c r="A119" s="24"/>
      <c r="B119" s="24"/>
      <c r="C119" s="24"/>
      <c r="D119" s="24"/>
      <c r="E119" s="24"/>
      <c r="F119" s="24"/>
      <c r="G119" s="24"/>
      <c r="H119" s="24"/>
      <c r="I119" s="26"/>
    </row>
    <row r="120" spans="1:10" ht="45" x14ac:dyDescent="0.25">
      <c r="A120" s="27" t="s">
        <v>227</v>
      </c>
      <c r="B120" s="28" t="s">
        <v>197</v>
      </c>
      <c r="C120" s="27" t="s">
        <v>199</v>
      </c>
      <c r="D120" s="28" t="s">
        <v>198</v>
      </c>
      <c r="E120" s="27" t="s">
        <v>202</v>
      </c>
      <c r="F120" s="27" t="s">
        <v>200</v>
      </c>
      <c r="G120" s="28" t="s">
        <v>191</v>
      </c>
      <c r="H120" s="29"/>
      <c r="I120" s="30" t="s">
        <v>192</v>
      </c>
    </row>
    <row r="121" spans="1:10" ht="15.75" thickBot="1" x14ac:dyDescent="0.3">
      <c r="A121" s="10"/>
      <c r="B121" s="31"/>
      <c r="C121" s="14">
        <v>30</v>
      </c>
      <c r="D121" s="11"/>
      <c r="E121" s="14">
        <v>30</v>
      </c>
      <c r="F121" s="11"/>
      <c r="G121" s="32">
        <f>$A121</f>
        <v>0</v>
      </c>
      <c r="H121" s="31"/>
      <c r="I121" s="46">
        <f>IF($P$13=0,0,IF($N$5&gt;=9,$P$13,0))</f>
        <v>0</v>
      </c>
    </row>
    <row r="122" spans="1:10" x14ac:dyDescent="0.25">
      <c r="A122" s="24"/>
      <c r="B122" s="24"/>
      <c r="C122" s="24"/>
      <c r="D122" s="24"/>
      <c r="E122" s="24"/>
      <c r="F122" s="24"/>
      <c r="G122" s="24"/>
      <c r="H122" s="24"/>
      <c r="I122" s="26"/>
    </row>
    <row r="123" spans="1:10" x14ac:dyDescent="0.25">
      <c r="A123" s="31">
        <f>$G121</f>
        <v>0</v>
      </c>
      <c r="B123" s="33"/>
      <c r="C123" s="24" t="s">
        <v>193</v>
      </c>
      <c r="D123" s="24"/>
      <c r="E123" s="24"/>
      <c r="F123" s="24"/>
      <c r="G123" s="24"/>
      <c r="H123" s="24"/>
      <c r="I123" s="26"/>
    </row>
    <row r="124" spans="1:10" ht="15.75" thickBot="1" x14ac:dyDescent="0.3">
      <c r="A124" s="34">
        <f>A123*20/100</f>
        <v>0</v>
      </c>
      <c r="B124" s="35"/>
      <c r="C124" s="36" t="s">
        <v>194</v>
      </c>
      <c r="D124" s="36"/>
      <c r="E124" s="36"/>
      <c r="F124" s="24"/>
      <c r="G124" s="24"/>
      <c r="H124" s="24"/>
      <c r="I124" s="26"/>
    </row>
    <row r="125" spans="1:10" x14ac:dyDescent="0.25">
      <c r="A125" s="37">
        <f>A123+A124</f>
        <v>0</v>
      </c>
      <c r="B125" s="37"/>
      <c r="C125" s="38"/>
      <c r="D125" s="38"/>
      <c r="E125" s="24"/>
      <c r="F125" s="24"/>
      <c r="G125" s="90" t="s">
        <v>211</v>
      </c>
      <c r="H125" s="91"/>
      <c r="I125" s="39" t="s">
        <v>195</v>
      </c>
    </row>
    <row r="126" spans="1:10" x14ac:dyDescent="0.25">
      <c r="A126" s="40" t="str">
        <f>IF($N$3 =0,"erfassen",$N$3)</f>
        <v>erfassen</v>
      </c>
      <c r="B126" s="36"/>
      <c r="C126" s="36" t="s">
        <v>212</v>
      </c>
      <c r="D126" s="36"/>
      <c r="E126" s="36"/>
      <c r="F126" s="24"/>
      <c r="G126" s="88" t="s">
        <v>210</v>
      </c>
      <c r="H126" s="89"/>
      <c r="I126" s="41" t="s">
        <v>220</v>
      </c>
    </row>
    <row r="127" spans="1:10" x14ac:dyDescent="0.25">
      <c r="A127" s="42">
        <f>IF(OR($A125=0,$N$3=0),,$N$3*$A125/100)</f>
        <v>0</v>
      </c>
      <c r="B127" s="42"/>
      <c r="C127" s="85" t="str">
        <f>IF($A127&lt;=$I121,"Förderung","Förderung, jedoch höchstens lt. Bescheid "&amp; $I121&amp;"€")</f>
        <v>Förderung</v>
      </c>
      <c r="D127" s="85"/>
      <c r="E127" s="85"/>
      <c r="F127" s="37"/>
      <c r="G127" s="86">
        <f>IF($A127&lt;=$I121,$A127, $I121)</f>
        <v>0</v>
      </c>
      <c r="H127" s="87"/>
      <c r="I127" s="47">
        <f>IF($N$5&gt;9,$I$37,0)</f>
        <v>0</v>
      </c>
    </row>
    <row r="128" spans="1:10" ht="15.75" thickBot="1" x14ac:dyDescent="0.3">
      <c r="A128" s="44"/>
      <c r="B128" s="44"/>
      <c r="C128" s="44"/>
      <c r="D128" s="44"/>
      <c r="E128" s="44"/>
      <c r="F128" s="44"/>
      <c r="G128" s="43"/>
      <c r="H128" s="44"/>
      <c r="I128" s="45"/>
    </row>
    <row r="129" spans="1:10" x14ac:dyDescent="0.25">
      <c r="A129" s="22" t="s">
        <v>237</v>
      </c>
      <c r="B129" s="22"/>
      <c r="C129" s="22"/>
      <c r="D129" s="22"/>
      <c r="E129" s="22"/>
      <c r="F129" s="22"/>
      <c r="G129" s="22"/>
      <c r="H129" s="22"/>
      <c r="I129" s="23"/>
      <c r="J129">
        <v>10</v>
      </c>
    </row>
    <row r="130" spans="1:10" x14ac:dyDescent="0.25">
      <c r="A130" s="24"/>
      <c r="B130" s="24"/>
      <c r="C130" s="25" t="s">
        <v>205</v>
      </c>
      <c r="D130" s="11"/>
      <c r="E130" s="66">
        <f>(DATE(YEAR(E118),MONTH(E118)+1,1))</f>
        <v>275</v>
      </c>
      <c r="F130" s="14" t="s">
        <v>6</v>
      </c>
      <c r="G130" s="66">
        <f>EOMONTH($E130,0)</f>
        <v>305</v>
      </c>
      <c r="H130" s="24"/>
      <c r="I130" s="26"/>
    </row>
    <row r="131" spans="1:10" x14ac:dyDescent="0.25">
      <c r="A131" s="24"/>
      <c r="B131" s="24"/>
      <c r="C131" s="24"/>
      <c r="D131" s="24"/>
      <c r="E131" s="24"/>
      <c r="F131" s="24"/>
      <c r="G131" s="24"/>
      <c r="H131" s="24"/>
      <c r="I131" s="26"/>
    </row>
    <row r="132" spans="1:10" ht="45" x14ac:dyDescent="0.25">
      <c r="A132" s="27" t="s">
        <v>227</v>
      </c>
      <c r="B132" s="28" t="s">
        <v>197</v>
      </c>
      <c r="C132" s="27" t="s">
        <v>199</v>
      </c>
      <c r="D132" s="28" t="s">
        <v>198</v>
      </c>
      <c r="E132" s="27" t="s">
        <v>202</v>
      </c>
      <c r="F132" s="27" t="s">
        <v>200</v>
      </c>
      <c r="G132" s="28" t="s">
        <v>191</v>
      </c>
      <c r="H132" s="29"/>
      <c r="I132" s="30" t="s">
        <v>192</v>
      </c>
    </row>
    <row r="133" spans="1:10" ht="15.75" thickBot="1" x14ac:dyDescent="0.3">
      <c r="A133" s="10"/>
      <c r="B133" s="31"/>
      <c r="C133" s="14">
        <v>30</v>
      </c>
      <c r="D133" s="11"/>
      <c r="E133" s="14">
        <v>30</v>
      </c>
      <c r="F133" s="11"/>
      <c r="G133" s="32">
        <f>$A133</f>
        <v>0</v>
      </c>
      <c r="H133" s="31"/>
      <c r="I133" s="46">
        <f>IF($P$13=0,0,IF($N$5&gt;=10,$P$13,0))</f>
        <v>0</v>
      </c>
    </row>
    <row r="134" spans="1:10" x14ac:dyDescent="0.25">
      <c r="A134" s="24"/>
      <c r="B134" s="24"/>
      <c r="C134" s="24"/>
      <c r="D134" s="24"/>
      <c r="E134" s="24"/>
      <c r="F134" s="24"/>
      <c r="G134" s="24"/>
      <c r="H134" s="24"/>
      <c r="I134" s="26"/>
    </row>
    <row r="135" spans="1:10" x14ac:dyDescent="0.25">
      <c r="A135" s="31">
        <f>$G133</f>
        <v>0</v>
      </c>
      <c r="B135" s="33"/>
      <c r="C135" s="24" t="s">
        <v>193</v>
      </c>
      <c r="D135" s="24"/>
      <c r="E135" s="24"/>
      <c r="F135" s="24"/>
      <c r="G135" s="24"/>
      <c r="H135" s="24"/>
      <c r="I135" s="26"/>
    </row>
    <row r="136" spans="1:10" ht="15.75" thickBot="1" x14ac:dyDescent="0.3">
      <c r="A136" s="34">
        <f>A135*20/100</f>
        <v>0</v>
      </c>
      <c r="B136" s="35"/>
      <c r="C136" s="36" t="s">
        <v>194</v>
      </c>
      <c r="D136" s="36"/>
      <c r="E136" s="36"/>
      <c r="F136" s="24"/>
      <c r="G136" s="24"/>
      <c r="H136" s="24"/>
      <c r="I136" s="26"/>
    </row>
    <row r="137" spans="1:10" x14ac:dyDescent="0.25">
      <c r="A137" s="37">
        <f>A135+A136</f>
        <v>0</v>
      </c>
      <c r="B137" s="37"/>
      <c r="C137" s="38"/>
      <c r="D137" s="38"/>
      <c r="E137" s="24"/>
      <c r="F137" s="24"/>
      <c r="G137" s="90" t="s">
        <v>211</v>
      </c>
      <c r="H137" s="91"/>
      <c r="I137" s="39" t="s">
        <v>195</v>
      </c>
    </row>
    <row r="138" spans="1:10" x14ac:dyDescent="0.25">
      <c r="A138" s="40" t="str">
        <f>IF($N$3 =0,"erfassen",$N$3)</f>
        <v>erfassen</v>
      </c>
      <c r="B138" s="36"/>
      <c r="C138" s="36" t="s">
        <v>212</v>
      </c>
      <c r="D138" s="36"/>
      <c r="E138" s="36"/>
      <c r="F138" s="24"/>
      <c r="G138" s="88" t="s">
        <v>210</v>
      </c>
      <c r="H138" s="89"/>
      <c r="I138" s="41" t="s">
        <v>221</v>
      </c>
    </row>
    <row r="139" spans="1:10" x14ac:dyDescent="0.25">
      <c r="A139" s="42">
        <f>IF(OR($A137=0,$N$3=0),,$N$3*$A137/100)</f>
        <v>0</v>
      </c>
      <c r="B139" s="42"/>
      <c r="C139" s="85" t="str">
        <f>IF($A139&lt;=$I133,"Förderung","Förderung, jedoch höchstens lt. Bescheid "&amp; $I133&amp;"€")</f>
        <v>Förderung</v>
      </c>
      <c r="D139" s="85"/>
      <c r="E139" s="85"/>
      <c r="F139" s="37"/>
      <c r="G139" s="86">
        <f>IF($A139&lt;=$I133,$A139, $I133)</f>
        <v>0</v>
      </c>
      <c r="H139" s="87"/>
      <c r="I139" s="47">
        <f>IF($N$5&gt;10,$I$37,0)</f>
        <v>0</v>
      </c>
    </row>
    <row r="140" spans="1:10" ht="15.75" thickBot="1" x14ac:dyDescent="0.3">
      <c r="A140" s="44"/>
      <c r="B140" s="44"/>
      <c r="C140" s="44"/>
      <c r="D140" s="44"/>
      <c r="E140" s="44"/>
      <c r="F140" s="44"/>
      <c r="G140" s="43"/>
      <c r="H140" s="44"/>
      <c r="I140" s="45"/>
    </row>
    <row r="141" spans="1:10" x14ac:dyDescent="0.25">
      <c r="A141" s="22" t="s">
        <v>238</v>
      </c>
      <c r="B141" s="22"/>
      <c r="C141" s="22"/>
      <c r="D141" s="22"/>
      <c r="E141" s="22"/>
      <c r="F141" s="22"/>
      <c r="G141" s="22"/>
      <c r="H141" s="22"/>
      <c r="I141" s="23"/>
      <c r="J141">
        <v>11</v>
      </c>
    </row>
    <row r="142" spans="1:10" x14ac:dyDescent="0.25">
      <c r="A142" s="24"/>
      <c r="B142" s="24"/>
      <c r="C142" s="25" t="s">
        <v>205</v>
      </c>
      <c r="D142" s="11"/>
      <c r="E142" s="66">
        <f>(DATE(YEAR(E130),MONTH(E130)+1,1))</f>
        <v>306</v>
      </c>
      <c r="F142" s="14" t="s">
        <v>6</v>
      </c>
      <c r="G142" s="66">
        <f>EOMONTH($E142,0)</f>
        <v>335</v>
      </c>
      <c r="H142" s="24"/>
      <c r="I142" s="26"/>
    </row>
    <row r="143" spans="1:10" x14ac:dyDescent="0.25">
      <c r="A143" s="24"/>
      <c r="B143" s="24"/>
      <c r="C143" s="24"/>
      <c r="D143" s="24"/>
      <c r="E143" s="24"/>
      <c r="F143" s="24"/>
      <c r="G143" s="24"/>
      <c r="H143" s="24"/>
      <c r="I143" s="26"/>
    </row>
    <row r="144" spans="1:10" ht="45" x14ac:dyDescent="0.25">
      <c r="A144" s="27" t="s">
        <v>227</v>
      </c>
      <c r="B144" s="28" t="s">
        <v>197</v>
      </c>
      <c r="C144" s="27" t="s">
        <v>199</v>
      </c>
      <c r="D144" s="28" t="s">
        <v>198</v>
      </c>
      <c r="E144" s="27" t="s">
        <v>202</v>
      </c>
      <c r="F144" s="27" t="s">
        <v>200</v>
      </c>
      <c r="G144" s="28" t="s">
        <v>191</v>
      </c>
      <c r="H144" s="29"/>
      <c r="I144" s="30" t="s">
        <v>192</v>
      </c>
    </row>
    <row r="145" spans="1:10" ht="15.75" thickBot="1" x14ac:dyDescent="0.3">
      <c r="A145" s="10"/>
      <c r="B145" s="31"/>
      <c r="C145" s="14">
        <v>30</v>
      </c>
      <c r="D145" s="11"/>
      <c r="E145" s="14">
        <v>30</v>
      </c>
      <c r="F145" s="11"/>
      <c r="G145" s="32">
        <f>$A145</f>
        <v>0</v>
      </c>
      <c r="H145" s="31"/>
      <c r="I145" s="46">
        <f>IF($P$13=0,0,IF($N$5&gt;=11,$P$13,0))</f>
        <v>0</v>
      </c>
    </row>
    <row r="146" spans="1:10" x14ac:dyDescent="0.25">
      <c r="A146" s="24"/>
      <c r="B146" s="24"/>
      <c r="C146" s="24"/>
      <c r="D146" s="24"/>
      <c r="E146" s="24"/>
      <c r="F146" s="24"/>
      <c r="G146" s="24"/>
      <c r="H146" s="24"/>
      <c r="I146" s="26"/>
    </row>
    <row r="147" spans="1:10" x14ac:dyDescent="0.25">
      <c r="A147" s="31">
        <f>$G145</f>
        <v>0</v>
      </c>
      <c r="B147" s="33"/>
      <c r="C147" s="24" t="s">
        <v>193</v>
      </c>
      <c r="D147" s="24"/>
      <c r="E147" s="24"/>
      <c r="F147" s="24"/>
      <c r="G147" s="24"/>
      <c r="H147" s="24"/>
      <c r="I147" s="26"/>
    </row>
    <row r="148" spans="1:10" ht="15.75" thickBot="1" x14ac:dyDescent="0.3">
      <c r="A148" s="34">
        <f>A147*20/100</f>
        <v>0</v>
      </c>
      <c r="B148" s="35"/>
      <c r="C148" s="36" t="s">
        <v>194</v>
      </c>
      <c r="D148" s="36"/>
      <c r="E148" s="36"/>
      <c r="F148" s="24"/>
      <c r="G148" s="24"/>
      <c r="H148" s="24"/>
      <c r="I148" s="26"/>
    </row>
    <row r="149" spans="1:10" x14ac:dyDescent="0.25">
      <c r="A149" s="37">
        <f>A147+A148</f>
        <v>0</v>
      </c>
      <c r="B149" s="37"/>
      <c r="C149" s="38"/>
      <c r="D149" s="38"/>
      <c r="E149" s="24"/>
      <c r="F149" s="24"/>
      <c r="G149" s="90" t="s">
        <v>211</v>
      </c>
      <c r="H149" s="91"/>
      <c r="I149" s="39" t="s">
        <v>195</v>
      </c>
    </row>
    <row r="150" spans="1:10" x14ac:dyDescent="0.25">
      <c r="A150" s="40" t="str">
        <f>IF($N$3 =0,"erfassen",$N$3)</f>
        <v>erfassen</v>
      </c>
      <c r="B150" s="36"/>
      <c r="C150" s="36" t="s">
        <v>212</v>
      </c>
      <c r="D150" s="36"/>
      <c r="E150" s="36"/>
      <c r="F150" s="24"/>
      <c r="G150" s="88" t="s">
        <v>210</v>
      </c>
      <c r="H150" s="89"/>
      <c r="I150" s="41" t="s">
        <v>222</v>
      </c>
    </row>
    <row r="151" spans="1:10" x14ac:dyDescent="0.25">
      <c r="A151" s="42">
        <f>IF(OR($A149=0,$N$3=0),,$N$3*$A149/100)</f>
        <v>0</v>
      </c>
      <c r="B151" s="42"/>
      <c r="C151" s="85" t="str">
        <f>IF($A151&lt;=$I145,"Förderung","Förderung, jedoch höchstens lt. Bescheid "&amp; $I145&amp;"€")</f>
        <v>Förderung</v>
      </c>
      <c r="D151" s="85"/>
      <c r="E151" s="85"/>
      <c r="F151" s="37"/>
      <c r="G151" s="86">
        <f>IF($A151&lt;=$I145,$A151, $I145)</f>
        <v>0</v>
      </c>
      <c r="H151" s="87"/>
      <c r="I151" s="47">
        <f>IF($N$5&gt;11,$I$37,0)</f>
        <v>0</v>
      </c>
    </row>
    <row r="152" spans="1:10" ht="15.75" thickBot="1" x14ac:dyDescent="0.3">
      <c r="A152" s="44"/>
      <c r="B152" s="44"/>
      <c r="C152" s="44"/>
      <c r="D152" s="44"/>
      <c r="E152" s="44"/>
      <c r="F152" s="44"/>
      <c r="G152" s="43"/>
      <c r="H152" s="44"/>
      <c r="I152" s="45"/>
    </row>
    <row r="153" spans="1:10" x14ac:dyDescent="0.25">
      <c r="A153" s="22" t="str">
        <f>J153&amp;". Monat"</f>
        <v>12. Monat</v>
      </c>
      <c r="B153" s="22"/>
      <c r="C153" s="22"/>
      <c r="D153" s="22"/>
      <c r="E153" s="22"/>
      <c r="F153" s="22"/>
      <c r="G153" s="22"/>
      <c r="H153" s="22"/>
      <c r="I153" s="23"/>
      <c r="J153">
        <v>12</v>
      </c>
    </row>
    <row r="154" spans="1:10" x14ac:dyDescent="0.25">
      <c r="A154" s="24"/>
      <c r="B154" s="24"/>
      <c r="C154" s="25" t="s">
        <v>205</v>
      </c>
      <c r="D154" s="11"/>
      <c r="E154" s="66">
        <f>(DATE(YEAR(E142),MONTH(E142)+1,1))</f>
        <v>336</v>
      </c>
      <c r="F154" s="14" t="s">
        <v>6</v>
      </c>
      <c r="G154" s="66">
        <f>EOMONTH($E154,0)</f>
        <v>366</v>
      </c>
      <c r="H154" s="24"/>
      <c r="I154" s="26"/>
    </row>
    <row r="155" spans="1:10" x14ac:dyDescent="0.25">
      <c r="A155" s="24"/>
      <c r="B155" s="24"/>
      <c r="C155" s="24"/>
      <c r="D155" s="24"/>
      <c r="E155" s="24"/>
      <c r="F155" s="24"/>
      <c r="G155" s="24"/>
      <c r="H155" s="24"/>
      <c r="I155" s="26"/>
    </row>
    <row r="156" spans="1:10" ht="45" x14ac:dyDescent="0.25">
      <c r="A156" s="27" t="s">
        <v>227</v>
      </c>
      <c r="B156" s="28" t="s">
        <v>197</v>
      </c>
      <c r="C156" s="27" t="s">
        <v>199</v>
      </c>
      <c r="D156" s="28" t="s">
        <v>198</v>
      </c>
      <c r="E156" s="27" t="s">
        <v>202</v>
      </c>
      <c r="F156" s="27" t="s">
        <v>200</v>
      </c>
      <c r="G156" s="28" t="s">
        <v>191</v>
      </c>
      <c r="H156" s="29"/>
      <c r="I156" s="30" t="s">
        <v>192</v>
      </c>
    </row>
    <row r="157" spans="1:10" ht="15.75" thickBot="1" x14ac:dyDescent="0.3">
      <c r="A157" s="10"/>
      <c r="B157" s="31"/>
      <c r="C157" s="14">
        <v>30</v>
      </c>
      <c r="D157" s="11"/>
      <c r="E157" s="14">
        <v>30</v>
      </c>
      <c r="F157" s="11"/>
      <c r="G157" s="32">
        <f>$A157</f>
        <v>0</v>
      </c>
      <c r="H157" s="31"/>
      <c r="I157" s="46">
        <f>IF($P$13=0,0,IF($N$5&gt;=12,$P$13,0))</f>
        <v>0</v>
      </c>
    </row>
    <row r="158" spans="1:10" x14ac:dyDescent="0.25">
      <c r="A158" s="24"/>
      <c r="B158" s="24"/>
      <c r="C158" s="24"/>
      <c r="D158" s="24"/>
      <c r="E158" s="24"/>
      <c r="F158" s="24"/>
      <c r="G158" s="24"/>
      <c r="H158" s="24"/>
      <c r="I158" s="26"/>
    </row>
    <row r="159" spans="1:10" x14ac:dyDescent="0.25">
      <c r="A159" s="31">
        <f>$G157</f>
        <v>0</v>
      </c>
      <c r="B159" s="33"/>
      <c r="C159" s="24" t="s">
        <v>193</v>
      </c>
      <c r="D159" s="24"/>
      <c r="E159" s="24"/>
      <c r="F159" s="24"/>
      <c r="G159" s="24"/>
      <c r="H159" s="24"/>
      <c r="I159" s="26"/>
    </row>
    <row r="160" spans="1:10" ht="15.75" thickBot="1" x14ac:dyDescent="0.3">
      <c r="A160" s="34">
        <f>A159*20/100</f>
        <v>0</v>
      </c>
      <c r="B160" s="35"/>
      <c r="C160" s="36" t="s">
        <v>194</v>
      </c>
      <c r="D160" s="36"/>
      <c r="E160" s="36"/>
      <c r="F160" s="24"/>
      <c r="G160" s="24"/>
      <c r="H160" s="24"/>
      <c r="I160" s="26"/>
    </row>
    <row r="161" spans="1:10" x14ac:dyDescent="0.25">
      <c r="A161" s="37">
        <f>A159+A160</f>
        <v>0</v>
      </c>
      <c r="B161" s="37"/>
      <c r="C161" s="38"/>
      <c r="D161" s="38"/>
      <c r="E161" s="24"/>
      <c r="F161" s="24"/>
      <c r="G161" s="90" t="s">
        <v>211</v>
      </c>
      <c r="H161" s="91"/>
      <c r="I161" s="39" t="s">
        <v>195</v>
      </c>
    </row>
    <row r="162" spans="1:10" x14ac:dyDescent="0.25">
      <c r="A162" s="40" t="str">
        <f>IF($N$3 =0,"erfassen",$N$3)</f>
        <v>erfassen</v>
      </c>
      <c r="B162" s="36"/>
      <c r="C162" s="36" t="s">
        <v>212</v>
      </c>
      <c r="D162" s="36"/>
      <c r="E162" s="36"/>
      <c r="F162" s="24"/>
      <c r="G162" s="88" t="s">
        <v>210</v>
      </c>
      <c r="H162" s="89"/>
      <c r="I162" s="41" t="str">
        <f>J153&amp;". Rate ausgezahlt"</f>
        <v>12. Rate ausgezahlt</v>
      </c>
    </row>
    <row r="163" spans="1:10" x14ac:dyDescent="0.25">
      <c r="A163" s="42">
        <f>IF(OR($A161=0,$N$3=0),,$N$3*$A161/100)</f>
        <v>0</v>
      </c>
      <c r="B163" s="42"/>
      <c r="C163" s="85" t="str">
        <f>IF($A163&lt;=$I157,"Förderung","Förderung, jedoch höchstens lt. Bescheid "&amp; $I157&amp;"€")</f>
        <v>Förderung</v>
      </c>
      <c r="D163" s="85"/>
      <c r="E163" s="85"/>
      <c r="F163" s="37"/>
      <c r="G163" s="86">
        <f>IF($A163&lt;=$I157,$A163, $I157)</f>
        <v>0</v>
      </c>
      <c r="H163" s="87"/>
      <c r="I163" s="47">
        <f>IF($N$5&gt;12,$I$37,0)</f>
        <v>0</v>
      </c>
    </row>
    <row r="164" spans="1:10" ht="15.75" thickBot="1" x14ac:dyDescent="0.3">
      <c r="A164" s="44"/>
      <c r="B164" s="44"/>
      <c r="C164" s="44"/>
      <c r="D164" s="44"/>
      <c r="E164" s="44"/>
      <c r="F164" s="44"/>
      <c r="G164" s="43"/>
      <c r="H164" s="44"/>
      <c r="I164" s="45"/>
    </row>
    <row r="165" spans="1:10" x14ac:dyDescent="0.25">
      <c r="A165" s="22" t="str">
        <f>J165&amp;". Monat"</f>
        <v>13. Monat</v>
      </c>
      <c r="B165" s="22"/>
      <c r="C165" s="22"/>
      <c r="D165" s="22"/>
      <c r="E165" s="22"/>
      <c r="F165" s="22"/>
      <c r="G165" s="22"/>
      <c r="H165" s="22"/>
      <c r="I165" s="23"/>
      <c r="J165">
        <v>13</v>
      </c>
    </row>
    <row r="166" spans="1:10" x14ac:dyDescent="0.25">
      <c r="A166" s="24"/>
      <c r="B166" s="24"/>
      <c r="C166" s="25" t="s">
        <v>205</v>
      </c>
      <c r="D166" s="11"/>
      <c r="E166" s="66">
        <f>(DATE(YEAR(E154),MONTH(E154)+1,1))</f>
        <v>367</v>
      </c>
      <c r="F166" s="14" t="s">
        <v>6</v>
      </c>
      <c r="G166" s="66">
        <f>EOMONTH($E166,0)</f>
        <v>397</v>
      </c>
      <c r="H166" s="24"/>
      <c r="I166" s="26"/>
    </row>
    <row r="167" spans="1:10" x14ac:dyDescent="0.25">
      <c r="A167" s="24"/>
      <c r="B167" s="24"/>
      <c r="C167" s="24"/>
      <c r="D167" s="24"/>
      <c r="E167" s="24"/>
      <c r="F167" s="24"/>
      <c r="G167" s="24"/>
      <c r="H167" s="24"/>
      <c r="I167" s="26"/>
    </row>
    <row r="168" spans="1:10" ht="45" x14ac:dyDescent="0.25">
      <c r="A168" s="27" t="s">
        <v>227</v>
      </c>
      <c r="B168" s="28" t="s">
        <v>197</v>
      </c>
      <c r="C168" s="27" t="s">
        <v>199</v>
      </c>
      <c r="D168" s="28" t="s">
        <v>198</v>
      </c>
      <c r="E168" s="27" t="s">
        <v>202</v>
      </c>
      <c r="F168" s="27" t="s">
        <v>200</v>
      </c>
      <c r="G168" s="28" t="s">
        <v>191</v>
      </c>
      <c r="H168" s="29"/>
      <c r="I168" s="30" t="s">
        <v>192</v>
      </c>
    </row>
    <row r="169" spans="1:10" ht="15.75" thickBot="1" x14ac:dyDescent="0.3">
      <c r="A169" s="10"/>
      <c r="B169" s="31"/>
      <c r="C169" s="14">
        <v>30</v>
      </c>
      <c r="D169" s="11"/>
      <c r="E169" s="14">
        <v>30</v>
      </c>
      <c r="F169" s="11"/>
      <c r="G169" s="32">
        <f>$A169</f>
        <v>0</v>
      </c>
      <c r="H169" s="31"/>
      <c r="I169" s="46">
        <f>IF($P$13=0,0,IF($N$5&gt;=12,$P$13,0))</f>
        <v>0</v>
      </c>
    </row>
    <row r="170" spans="1:10" x14ac:dyDescent="0.25">
      <c r="A170" s="24"/>
      <c r="B170" s="24"/>
      <c r="C170" s="24"/>
      <c r="D170" s="24"/>
      <c r="E170" s="24"/>
      <c r="F170" s="24"/>
      <c r="G170" s="24"/>
      <c r="H170" s="24"/>
      <c r="I170" s="26"/>
    </row>
    <row r="171" spans="1:10" x14ac:dyDescent="0.25">
      <c r="A171" s="31">
        <f>$G169</f>
        <v>0</v>
      </c>
      <c r="B171" s="33"/>
      <c r="C171" s="24" t="s">
        <v>193</v>
      </c>
      <c r="D171" s="24"/>
      <c r="E171" s="24"/>
      <c r="F171" s="24"/>
      <c r="G171" s="24"/>
      <c r="H171" s="24"/>
      <c r="I171" s="26"/>
    </row>
    <row r="172" spans="1:10" x14ac:dyDescent="0.25">
      <c r="A172" s="34">
        <f>A171*20/100</f>
        <v>0</v>
      </c>
      <c r="B172" s="35"/>
      <c r="C172" s="36" t="s">
        <v>194</v>
      </c>
      <c r="D172" s="36"/>
      <c r="E172" s="36"/>
      <c r="F172" s="24"/>
      <c r="G172" s="24"/>
      <c r="H172" s="24"/>
      <c r="I172" s="26"/>
    </row>
    <row r="173" spans="1:10" x14ac:dyDescent="0.25">
      <c r="A173" s="37">
        <f>A171+A172</f>
        <v>0</v>
      </c>
      <c r="B173" s="37"/>
      <c r="C173" s="38"/>
      <c r="D173" s="38"/>
      <c r="E173" s="24"/>
      <c r="F173" s="24"/>
      <c r="G173" s="24"/>
      <c r="H173" s="24"/>
      <c r="I173" s="26"/>
    </row>
    <row r="174" spans="1:10" ht="15.75" thickBot="1" x14ac:dyDescent="0.3">
      <c r="A174" s="40" t="str">
        <f>IF($N$3 =0,"erfassen",$N$3)</f>
        <v>erfassen</v>
      </c>
      <c r="B174" s="36"/>
      <c r="C174" s="36" t="s">
        <v>212</v>
      </c>
      <c r="D174" s="36"/>
      <c r="E174" s="36"/>
      <c r="F174" s="24"/>
      <c r="G174" s="24"/>
      <c r="H174" s="24"/>
      <c r="I174" s="26"/>
    </row>
    <row r="175" spans="1:10" x14ac:dyDescent="0.25">
      <c r="A175" s="80">
        <f>IF(OR($A173=0,$N$3=0),,$N$3*$A173/100)</f>
        <v>0</v>
      </c>
      <c r="B175" s="24"/>
      <c r="C175" s="24"/>
      <c r="D175" s="24"/>
      <c r="E175" s="24"/>
      <c r="F175" s="24"/>
      <c r="G175" s="90" t="s">
        <v>211</v>
      </c>
      <c r="H175" s="91"/>
      <c r="I175" s="39" t="s">
        <v>195</v>
      </c>
    </row>
    <row r="176" spans="1:10" x14ac:dyDescent="0.25">
      <c r="A176" s="80" t="str">
        <f>IF(AND($P$11 &lt;&gt;"",$P$11&lt;=$J165),IF(OR($A171=0,$N$3=0),0,$A175-20*$A175/100),IF(AND($P$9 &lt;&gt;"",$P$9&lt;=$J165),IF(OR($A171=0,$N$3=0),0,$A175-10*$A175/100),""))</f>
        <v/>
      </c>
      <c r="B176" s="24"/>
      <c r="C176" s="11" t="str">
        <f>IF(AND($P$11 &lt;&gt;"",$P$11&lt;=$J165),$N$11&amp;" Degression",IF(AND($P$9 &lt;&gt;"",$P$9&lt;=$J165),$N$9&amp;" Degression",""))</f>
        <v/>
      </c>
      <c r="D176" s="24"/>
      <c r="E176" s="24"/>
      <c r="F176" s="24"/>
      <c r="G176" s="88" t="s">
        <v>210</v>
      </c>
      <c r="H176" s="89"/>
      <c r="I176" s="41" t="str">
        <f>J165&amp;". Rate ausgezahlt"</f>
        <v>13. Rate ausgezahlt</v>
      </c>
    </row>
    <row r="177" spans="1:10" x14ac:dyDescent="0.25">
      <c r="A177" s="81">
        <f>IF(OR($A171=0,$N$3=0),,IF($A176="",$A175,$A176))</f>
        <v>0</v>
      </c>
      <c r="B177" s="81"/>
      <c r="C177" s="85" t="str">
        <f>IF($A177&lt;=$I169,"Förderung","Förderung, jedoch höchstens lt. Bescheid "&amp; $I169&amp;"€")</f>
        <v>Förderung</v>
      </c>
      <c r="D177" s="85"/>
      <c r="E177" s="85"/>
      <c r="F177" s="37"/>
      <c r="G177" s="86">
        <f>IF($A177&lt;=$I169,$A177, $I169)</f>
        <v>0</v>
      </c>
      <c r="H177" s="87"/>
      <c r="I177" s="47">
        <f>IF($N$5&gt;13,$I$37,0)</f>
        <v>0</v>
      </c>
    </row>
    <row r="178" spans="1:10" ht="15.75" thickBot="1" x14ac:dyDescent="0.3">
      <c r="A178" s="44"/>
      <c r="B178" s="44"/>
      <c r="C178" s="44"/>
      <c r="D178" s="44"/>
      <c r="E178" s="44"/>
      <c r="F178" s="44"/>
      <c r="G178" s="43"/>
      <c r="H178" s="44"/>
      <c r="I178" s="45"/>
    </row>
    <row r="179" spans="1:10" x14ac:dyDescent="0.25">
      <c r="A179" s="22" t="str">
        <f>J179&amp;". Monat"</f>
        <v>14. Monat</v>
      </c>
      <c r="B179" s="22"/>
      <c r="C179" s="22"/>
      <c r="D179" s="22"/>
      <c r="E179" s="22"/>
      <c r="F179" s="22"/>
      <c r="G179" s="22"/>
      <c r="H179" s="22"/>
      <c r="I179" s="23"/>
      <c r="J179">
        <v>14</v>
      </c>
    </row>
    <row r="180" spans="1:10" x14ac:dyDescent="0.25">
      <c r="A180" s="24"/>
      <c r="B180" s="24"/>
      <c r="C180" s="25" t="s">
        <v>205</v>
      </c>
      <c r="D180" s="11"/>
      <c r="E180" s="66">
        <f>(DATE(YEAR($E166),MONTH($E166)+1,1))</f>
        <v>398</v>
      </c>
      <c r="F180" s="14" t="s">
        <v>6</v>
      </c>
      <c r="G180" s="66">
        <f>EOMONTH($E180,0)</f>
        <v>425</v>
      </c>
      <c r="H180" s="24"/>
      <c r="I180" s="26"/>
    </row>
    <row r="181" spans="1:10" x14ac:dyDescent="0.25">
      <c r="A181" s="24"/>
      <c r="B181" s="24"/>
      <c r="C181" s="24"/>
      <c r="D181" s="24"/>
      <c r="E181" s="24"/>
      <c r="F181" s="24"/>
      <c r="G181" s="24"/>
      <c r="H181" s="24"/>
      <c r="I181" s="26"/>
    </row>
    <row r="182" spans="1:10" ht="45" x14ac:dyDescent="0.25">
      <c r="A182" s="27" t="s">
        <v>227</v>
      </c>
      <c r="B182" s="28" t="s">
        <v>197</v>
      </c>
      <c r="C182" s="27" t="s">
        <v>199</v>
      </c>
      <c r="D182" s="28" t="s">
        <v>198</v>
      </c>
      <c r="E182" s="27" t="s">
        <v>202</v>
      </c>
      <c r="F182" s="27" t="s">
        <v>200</v>
      </c>
      <c r="G182" s="28" t="s">
        <v>191</v>
      </c>
      <c r="H182" s="29"/>
      <c r="I182" s="30" t="s">
        <v>192</v>
      </c>
    </row>
    <row r="183" spans="1:10" ht="15.75" thickBot="1" x14ac:dyDescent="0.3">
      <c r="A183" s="10"/>
      <c r="B183" s="31"/>
      <c r="C183" s="14">
        <v>30</v>
      </c>
      <c r="D183" s="11"/>
      <c r="E183" s="14">
        <v>30</v>
      </c>
      <c r="F183" s="11"/>
      <c r="G183" s="32">
        <f>$A183</f>
        <v>0</v>
      </c>
      <c r="H183" s="31"/>
      <c r="I183" s="46">
        <f>IF($P$13=0,0,IF($N$5&gt;=12,$P$13,0))</f>
        <v>0</v>
      </c>
    </row>
    <row r="184" spans="1:10" x14ac:dyDescent="0.25">
      <c r="A184" s="24"/>
      <c r="B184" s="24"/>
      <c r="C184" s="24"/>
      <c r="D184" s="24"/>
      <c r="E184" s="24"/>
      <c r="F184" s="24"/>
      <c r="G184" s="24"/>
      <c r="H184" s="24"/>
      <c r="I184" s="26"/>
    </row>
    <row r="185" spans="1:10" x14ac:dyDescent="0.25">
      <c r="A185" s="31">
        <f>$G183</f>
        <v>0</v>
      </c>
      <c r="B185" s="33"/>
      <c r="C185" s="24" t="s">
        <v>193</v>
      </c>
      <c r="D185" s="24"/>
      <c r="E185" s="24"/>
      <c r="F185" s="24"/>
      <c r="G185" s="24"/>
      <c r="H185" s="24"/>
      <c r="I185" s="26"/>
    </row>
    <row r="186" spans="1:10" x14ac:dyDescent="0.25">
      <c r="A186" s="34">
        <f>A185*20/100</f>
        <v>0</v>
      </c>
      <c r="B186" s="35"/>
      <c r="C186" s="36" t="s">
        <v>194</v>
      </c>
      <c r="D186" s="36"/>
      <c r="E186" s="36"/>
      <c r="F186" s="24"/>
      <c r="G186" s="24"/>
      <c r="H186" s="24"/>
      <c r="I186" s="26"/>
    </row>
    <row r="187" spans="1:10" x14ac:dyDescent="0.25">
      <c r="A187" s="37">
        <f>A185+A186</f>
        <v>0</v>
      </c>
      <c r="B187" s="37"/>
      <c r="C187" s="38"/>
      <c r="D187" s="38"/>
      <c r="E187" s="24"/>
      <c r="F187" s="24"/>
      <c r="G187" s="24"/>
      <c r="H187" s="24"/>
      <c r="I187" s="26"/>
    </row>
    <row r="188" spans="1:10" ht="15.75" thickBot="1" x14ac:dyDescent="0.3">
      <c r="A188" s="40" t="str">
        <f>IF($N$3 =0,"erfassen",$N$3)</f>
        <v>erfassen</v>
      </c>
      <c r="B188" s="36"/>
      <c r="C188" s="36" t="s">
        <v>212</v>
      </c>
      <c r="D188" s="36"/>
      <c r="E188" s="36"/>
      <c r="F188" s="24"/>
      <c r="G188" s="24"/>
      <c r="H188" s="24"/>
      <c r="I188" s="26"/>
    </row>
    <row r="189" spans="1:10" x14ac:dyDescent="0.25">
      <c r="A189" s="80">
        <f>IF(OR($A187=0,$N$3=0),,$N$3*$A187/100)</f>
        <v>0</v>
      </c>
      <c r="B189" s="24"/>
      <c r="C189" s="24"/>
      <c r="D189" s="24"/>
      <c r="E189" s="24"/>
      <c r="F189" s="24"/>
      <c r="G189" s="90" t="s">
        <v>211</v>
      </c>
      <c r="H189" s="91"/>
      <c r="I189" s="39" t="s">
        <v>195</v>
      </c>
    </row>
    <row r="190" spans="1:10" x14ac:dyDescent="0.25">
      <c r="A190" s="80" t="str">
        <f>IF(AND($P$11 &lt;&gt;"",$P$11&lt;=$J179),IF(OR($A185=0,$N$3=0),0,$A189-20*$A189/100),IF(AND($P$9 &lt;&gt;"",$P$9&lt;=$J179),IF(OR($A185=0,$N$3=0),0,$A189-10*$A189/100),""))</f>
        <v/>
      </c>
      <c r="B190" s="24"/>
      <c r="C190" s="11" t="str">
        <f>IF(AND($P$11 &lt;&gt;"",$P$11&lt;=$J179),$N$11&amp;" Degression",IF(AND($P$9 &lt;&gt;"",$P$9&lt;=$J179),$N$9&amp;" Degression",""))</f>
        <v/>
      </c>
      <c r="D190" s="24"/>
      <c r="E190" s="24"/>
      <c r="F190" s="24"/>
      <c r="G190" s="88" t="s">
        <v>210</v>
      </c>
      <c r="H190" s="89"/>
      <c r="I190" s="41" t="str">
        <f>J179&amp;". Rate ausgezahlt"</f>
        <v>14. Rate ausgezahlt</v>
      </c>
    </row>
    <row r="191" spans="1:10" x14ac:dyDescent="0.25">
      <c r="A191" s="81">
        <f>IF(OR($A185=0,$N$3=0),,IF($A190="",$A189,$A190))</f>
        <v>0</v>
      </c>
      <c r="B191" s="81"/>
      <c r="C191" s="85" t="str">
        <f>IF($A191&lt;=$I183,"Förderung","Förderung, jedoch höchstens lt. Bescheid "&amp; $I183&amp;"€")</f>
        <v>Förderung</v>
      </c>
      <c r="D191" s="85"/>
      <c r="E191" s="85"/>
      <c r="F191" s="37"/>
      <c r="G191" s="86">
        <f>IF($A191&lt;=$I183,$A191, $I183)</f>
        <v>0</v>
      </c>
      <c r="H191" s="87"/>
      <c r="I191" s="47">
        <f>IF($N$5&gt;14,$I$37,0)</f>
        <v>0</v>
      </c>
    </row>
    <row r="192" spans="1:10" ht="15.75" thickBot="1" x14ac:dyDescent="0.3">
      <c r="A192" s="44"/>
      <c r="B192" s="44"/>
      <c r="C192" s="44"/>
      <c r="D192" s="44"/>
      <c r="E192" s="44"/>
      <c r="F192" s="44"/>
      <c r="G192" s="43"/>
      <c r="H192" s="44"/>
      <c r="I192" s="45"/>
    </row>
    <row r="193" spans="1:10" x14ac:dyDescent="0.25">
      <c r="A193" s="22" t="str">
        <f>J193&amp;". Monat"</f>
        <v>15. Monat</v>
      </c>
      <c r="B193" s="22"/>
      <c r="C193" s="22"/>
      <c r="D193" s="22"/>
      <c r="E193" s="22"/>
      <c r="F193" s="22"/>
      <c r="G193" s="22"/>
      <c r="H193" s="22"/>
      <c r="I193" s="23"/>
      <c r="J193">
        <v>15</v>
      </c>
    </row>
    <row r="194" spans="1:10" x14ac:dyDescent="0.25">
      <c r="A194" s="24"/>
      <c r="B194" s="24"/>
      <c r="C194" s="25" t="s">
        <v>205</v>
      </c>
      <c r="D194" s="11"/>
      <c r="E194" s="66">
        <f>(DATE(YEAR($E180),MONTH($E180)+1,1))</f>
        <v>426</v>
      </c>
      <c r="F194" s="14" t="s">
        <v>6</v>
      </c>
      <c r="G194" s="66">
        <f>EOMONTH($E194,0)</f>
        <v>456</v>
      </c>
      <c r="H194" s="24"/>
      <c r="I194" s="26"/>
    </row>
    <row r="195" spans="1:10" x14ac:dyDescent="0.25">
      <c r="A195" s="24"/>
      <c r="B195" s="24"/>
      <c r="C195" s="24"/>
      <c r="D195" s="24"/>
      <c r="E195" s="24"/>
      <c r="F195" s="24"/>
      <c r="G195" s="24"/>
      <c r="H195" s="24"/>
      <c r="I195" s="26"/>
    </row>
    <row r="196" spans="1:10" ht="45" x14ac:dyDescent="0.25">
      <c r="A196" s="27" t="s">
        <v>227</v>
      </c>
      <c r="B196" s="28" t="s">
        <v>197</v>
      </c>
      <c r="C196" s="27" t="s">
        <v>199</v>
      </c>
      <c r="D196" s="28" t="s">
        <v>198</v>
      </c>
      <c r="E196" s="27" t="s">
        <v>202</v>
      </c>
      <c r="F196" s="27" t="s">
        <v>200</v>
      </c>
      <c r="G196" s="28" t="s">
        <v>191</v>
      </c>
      <c r="H196" s="29"/>
      <c r="I196" s="30" t="s">
        <v>192</v>
      </c>
    </row>
    <row r="197" spans="1:10" ht="15.75" thickBot="1" x14ac:dyDescent="0.3">
      <c r="A197" s="10"/>
      <c r="B197" s="31"/>
      <c r="C197" s="14">
        <v>30</v>
      </c>
      <c r="D197" s="11"/>
      <c r="E197" s="14">
        <v>30</v>
      </c>
      <c r="F197" s="11"/>
      <c r="G197" s="32">
        <f>$A197</f>
        <v>0</v>
      </c>
      <c r="H197" s="31"/>
      <c r="I197" s="46">
        <f>IF($P$13=0,0,IF($N$5&gt;=12,$P$13,0))</f>
        <v>0</v>
      </c>
    </row>
    <row r="198" spans="1:10" x14ac:dyDescent="0.25">
      <c r="A198" s="24"/>
      <c r="B198" s="24"/>
      <c r="C198" s="24"/>
      <c r="D198" s="24"/>
      <c r="E198" s="24"/>
      <c r="F198" s="24"/>
      <c r="G198" s="24"/>
      <c r="H198" s="24"/>
      <c r="I198" s="26"/>
    </row>
    <row r="199" spans="1:10" x14ac:dyDescent="0.25">
      <c r="A199" s="31">
        <f>$G197</f>
        <v>0</v>
      </c>
      <c r="B199" s="33"/>
      <c r="C199" s="24" t="s">
        <v>193</v>
      </c>
      <c r="D199" s="24"/>
      <c r="E199" s="24"/>
      <c r="F199" s="24"/>
      <c r="G199" s="24"/>
      <c r="H199" s="24"/>
      <c r="I199" s="26"/>
    </row>
    <row r="200" spans="1:10" x14ac:dyDescent="0.25">
      <c r="A200" s="34">
        <f>A199*20/100</f>
        <v>0</v>
      </c>
      <c r="B200" s="35"/>
      <c r="C200" s="36" t="s">
        <v>194</v>
      </c>
      <c r="D200" s="36"/>
      <c r="E200" s="36"/>
      <c r="F200" s="24"/>
      <c r="G200" s="24"/>
      <c r="H200" s="24"/>
      <c r="I200" s="26"/>
    </row>
    <row r="201" spans="1:10" x14ac:dyDescent="0.25">
      <c r="A201" s="37">
        <f>A199+A200</f>
        <v>0</v>
      </c>
      <c r="B201" s="37"/>
      <c r="C201" s="38"/>
      <c r="D201" s="38"/>
      <c r="E201" s="24"/>
      <c r="F201" s="24"/>
      <c r="G201" s="24"/>
      <c r="H201" s="24"/>
      <c r="I201" s="26"/>
    </row>
    <row r="202" spans="1:10" ht="15.75" thickBot="1" x14ac:dyDescent="0.3">
      <c r="A202" s="40" t="str">
        <f>IF($N$3 =0,"erfassen",$N$3)</f>
        <v>erfassen</v>
      </c>
      <c r="B202" s="36"/>
      <c r="C202" s="36" t="s">
        <v>212</v>
      </c>
      <c r="D202" s="36"/>
      <c r="E202" s="36"/>
      <c r="F202" s="24"/>
      <c r="G202" s="24"/>
      <c r="H202" s="24"/>
      <c r="I202" s="26"/>
    </row>
    <row r="203" spans="1:10" x14ac:dyDescent="0.25">
      <c r="A203" s="80">
        <f>IF(OR($A201=0,$N$3=0),,$N$3*$A201/100)</f>
        <v>0</v>
      </c>
      <c r="B203" s="24"/>
      <c r="C203" s="24"/>
      <c r="D203" s="24"/>
      <c r="E203" s="24"/>
      <c r="F203" s="24"/>
      <c r="G203" s="90" t="s">
        <v>211</v>
      </c>
      <c r="H203" s="91"/>
      <c r="I203" s="39" t="s">
        <v>195</v>
      </c>
    </row>
    <row r="204" spans="1:10" x14ac:dyDescent="0.25">
      <c r="A204" s="80" t="str">
        <f>IF(AND($P$11 &lt;&gt;"",$P$11&lt;=$J193),IF(OR($A199=0,$N$3=0),0,$A203-20*$A203/100),IF(AND($P$9 &lt;&gt;"",$P$9&lt;=$J193),IF(OR($A199=0,$N$3=0),0,$A203-10*$A203/100),""))</f>
        <v/>
      </c>
      <c r="B204" s="24"/>
      <c r="C204" s="11" t="str">
        <f>IF(AND($P$11 &lt;&gt;"",$P$11&lt;=$J193),$N$11&amp;" Degression",IF(AND($P$9 &lt;&gt;"",$P$9&lt;=$J193),$N$9&amp;" Degression",""))</f>
        <v/>
      </c>
      <c r="D204" s="24"/>
      <c r="E204" s="24"/>
      <c r="F204" s="24"/>
      <c r="G204" s="88" t="s">
        <v>210</v>
      </c>
      <c r="H204" s="89"/>
      <c r="I204" s="41" t="str">
        <f>J193&amp;". Rate ausgezahlt"</f>
        <v>15. Rate ausgezahlt</v>
      </c>
    </row>
    <row r="205" spans="1:10" x14ac:dyDescent="0.25">
      <c r="A205" s="81">
        <f>IF(OR($A199=0,$N$3=0),,IF($A204="",$A203,$A204))</f>
        <v>0</v>
      </c>
      <c r="B205" s="81"/>
      <c r="C205" s="85" t="str">
        <f>IF($A205&lt;=$I197,"Förderung","Förderung, jedoch höchstens lt. Bescheid "&amp; $I197&amp;"€")</f>
        <v>Förderung</v>
      </c>
      <c r="D205" s="85"/>
      <c r="E205" s="85"/>
      <c r="F205" s="37"/>
      <c r="G205" s="86">
        <f>IF($A205&lt;=$I197,$A205, $I197)</f>
        <v>0</v>
      </c>
      <c r="H205" s="87"/>
      <c r="I205" s="47">
        <f>IF($N$5&gt;15,$I$37,0)</f>
        <v>0</v>
      </c>
    </row>
    <row r="206" spans="1:10" ht="15.75" thickBot="1" x14ac:dyDescent="0.3">
      <c r="A206" s="44"/>
      <c r="B206" s="44"/>
      <c r="C206" s="44"/>
      <c r="D206" s="44"/>
      <c r="E206" s="44"/>
      <c r="F206" s="44"/>
      <c r="G206" s="43"/>
      <c r="H206" s="44"/>
      <c r="I206" s="45"/>
    </row>
    <row r="207" spans="1:10" x14ac:dyDescent="0.25">
      <c r="A207" s="22" t="str">
        <f>J207&amp;". Monat"</f>
        <v>16. Monat</v>
      </c>
      <c r="B207" s="22"/>
      <c r="C207" s="22"/>
      <c r="D207" s="22"/>
      <c r="E207" s="22"/>
      <c r="F207" s="22"/>
      <c r="G207" s="22"/>
      <c r="H207" s="22"/>
      <c r="I207" s="23"/>
      <c r="J207">
        <v>16</v>
      </c>
    </row>
    <row r="208" spans="1:10" x14ac:dyDescent="0.25">
      <c r="A208" s="24"/>
      <c r="B208" s="24"/>
      <c r="C208" s="25" t="s">
        <v>205</v>
      </c>
      <c r="D208" s="11"/>
      <c r="E208" s="66">
        <f>(DATE(YEAR($E194),MONTH($E194)+1,1))</f>
        <v>457</v>
      </c>
      <c r="F208" s="14" t="s">
        <v>6</v>
      </c>
      <c r="G208" s="66">
        <f>EOMONTH($E208,0)</f>
        <v>486</v>
      </c>
      <c r="H208" s="24"/>
      <c r="I208" s="26"/>
    </row>
    <row r="209" spans="1:10" x14ac:dyDescent="0.25">
      <c r="A209" s="24"/>
      <c r="B209" s="24"/>
      <c r="C209" s="24"/>
      <c r="D209" s="24"/>
      <c r="E209" s="24"/>
      <c r="F209" s="24"/>
      <c r="G209" s="24"/>
      <c r="H209" s="24"/>
      <c r="I209" s="26"/>
    </row>
    <row r="210" spans="1:10" ht="45" x14ac:dyDescent="0.25">
      <c r="A210" s="27" t="s">
        <v>227</v>
      </c>
      <c r="B210" s="28" t="s">
        <v>197</v>
      </c>
      <c r="C210" s="27" t="s">
        <v>199</v>
      </c>
      <c r="D210" s="28" t="s">
        <v>198</v>
      </c>
      <c r="E210" s="27" t="s">
        <v>202</v>
      </c>
      <c r="F210" s="27" t="s">
        <v>200</v>
      </c>
      <c r="G210" s="28" t="s">
        <v>191</v>
      </c>
      <c r="H210" s="29"/>
      <c r="I210" s="30" t="s">
        <v>192</v>
      </c>
    </row>
    <row r="211" spans="1:10" ht="15.75" thickBot="1" x14ac:dyDescent="0.3">
      <c r="A211" s="10"/>
      <c r="B211" s="31"/>
      <c r="C211" s="14">
        <v>30</v>
      </c>
      <c r="D211" s="11"/>
      <c r="E211" s="14">
        <v>30</v>
      </c>
      <c r="F211" s="11"/>
      <c r="G211" s="32">
        <f>$A211</f>
        <v>0</v>
      </c>
      <c r="H211" s="31"/>
      <c r="I211" s="46">
        <f>IF($P$13=0,0,IF($N$5&gt;=12,$P$13,0))</f>
        <v>0</v>
      </c>
    </row>
    <row r="212" spans="1:10" x14ac:dyDescent="0.25">
      <c r="A212" s="24"/>
      <c r="B212" s="24"/>
      <c r="C212" s="24"/>
      <c r="D212" s="24"/>
      <c r="E212" s="24"/>
      <c r="F212" s="24"/>
      <c r="G212" s="24"/>
      <c r="H212" s="24"/>
      <c r="I212" s="26"/>
    </row>
    <row r="213" spans="1:10" x14ac:dyDescent="0.25">
      <c r="A213" s="31">
        <f>$G211</f>
        <v>0</v>
      </c>
      <c r="B213" s="33"/>
      <c r="C213" s="24" t="s">
        <v>193</v>
      </c>
      <c r="D213" s="24"/>
      <c r="E213" s="24"/>
      <c r="F213" s="24"/>
      <c r="G213" s="24"/>
      <c r="H213" s="24"/>
      <c r="I213" s="26"/>
    </row>
    <row r="214" spans="1:10" x14ac:dyDescent="0.25">
      <c r="A214" s="34">
        <f>A213*20/100</f>
        <v>0</v>
      </c>
      <c r="B214" s="35"/>
      <c r="C214" s="36" t="s">
        <v>194</v>
      </c>
      <c r="D214" s="36"/>
      <c r="E214" s="36"/>
      <c r="F214" s="24"/>
      <c r="G214" s="24"/>
      <c r="H214" s="24"/>
      <c r="I214" s="26"/>
    </row>
    <row r="215" spans="1:10" x14ac:dyDescent="0.25">
      <c r="A215" s="37">
        <f>A213+A214</f>
        <v>0</v>
      </c>
      <c r="B215" s="37"/>
      <c r="C215" s="38"/>
      <c r="D215" s="38"/>
      <c r="E215" s="24"/>
      <c r="F215" s="24"/>
      <c r="G215" s="24"/>
      <c r="H215" s="24"/>
      <c r="I215" s="26"/>
    </row>
    <row r="216" spans="1:10" ht="15.75" thickBot="1" x14ac:dyDescent="0.3">
      <c r="A216" s="40" t="str">
        <f>IF($N$3 =0,"erfassen",$N$3)</f>
        <v>erfassen</v>
      </c>
      <c r="B216" s="36"/>
      <c r="C216" s="36" t="s">
        <v>212</v>
      </c>
      <c r="D216" s="36"/>
      <c r="E216" s="36"/>
      <c r="F216" s="24"/>
      <c r="G216" s="24"/>
      <c r="H216" s="24"/>
      <c r="I216" s="26"/>
    </row>
    <row r="217" spans="1:10" x14ac:dyDescent="0.25">
      <c r="A217" s="80">
        <f>IF(OR($A215=0,$N$3=0),,$N$3*$A215/100)</f>
        <v>0</v>
      </c>
      <c r="B217" s="24"/>
      <c r="C217" s="24"/>
      <c r="D217" s="24"/>
      <c r="E217" s="24"/>
      <c r="F217" s="24"/>
      <c r="G217" s="90" t="s">
        <v>211</v>
      </c>
      <c r="H217" s="91"/>
      <c r="I217" s="39" t="s">
        <v>195</v>
      </c>
    </row>
    <row r="218" spans="1:10" x14ac:dyDescent="0.25">
      <c r="A218" s="80" t="str">
        <f>IF(AND($P$11 &lt;&gt;"",$P$11&lt;=$J207),IF(OR($A213=0,$N$3=0),0,$A217-20*$A217/100),IF(AND($P$9 &lt;&gt;"",$P$9&lt;=$J207),IF(OR($A213=0,$N$3=0),0,$A217-10*$A217/100),""))</f>
        <v/>
      </c>
      <c r="B218" s="24"/>
      <c r="C218" s="11" t="str">
        <f>IF(AND($P$11 &lt;&gt;"",$P$11&lt;=$J207),$N$11&amp;" Degression",IF(AND($P$9 &lt;&gt;"",$P$9&lt;=$J207),$N$9&amp;" Degression",""))</f>
        <v/>
      </c>
      <c r="D218" s="24"/>
      <c r="E218" s="24"/>
      <c r="F218" s="24"/>
      <c r="G218" s="88" t="s">
        <v>210</v>
      </c>
      <c r="H218" s="89"/>
      <c r="I218" s="41" t="str">
        <f>J207&amp;". Rate ausgezahlt"</f>
        <v>16. Rate ausgezahlt</v>
      </c>
    </row>
    <row r="219" spans="1:10" x14ac:dyDescent="0.25">
      <c r="A219" s="81">
        <f>IF(OR($A213=0,$N$3=0),,IF($A218="",$A217,$A218))</f>
        <v>0</v>
      </c>
      <c r="B219" s="81"/>
      <c r="C219" s="85" t="str">
        <f>IF($A219&lt;=$I211,"Förderung","Förderung, jedoch höchstens lt. Bescheid "&amp; $I211&amp;"€")</f>
        <v>Förderung</v>
      </c>
      <c r="D219" s="85"/>
      <c r="E219" s="85"/>
      <c r="F219" s="37"/>
      <c r="G219" s="86">
        <f>IF($A219&lt;=$I211,$A219, $I211)</f>
        <v>0</v>
      </c>
      <c r="H219" s="87"/>
      <c r="I219" s="47">
        <f>IF($N$5&gt;16,$I$37,0)</f>
        <v>0</v>
      </c>
    </row>
    <row r="220" spans="1:10" ht="15.75" thickBot="1" x14ac:dyDescent="0.3">
      <c r="A220" s="44"/>
      <c r="B220" s="44"/>
      <c r="C220" s="44"/>
      <c r="D220" s="44"/>
      <c r="E220" s="44"/>
      <c r="F220" s="44"/>
      <c r="G220" s="43"/>
      <c r="H220" s="44"/>
      <c r="I220" s="45"/>
    </row>
    <row r="221" spans="1:10" x14ac:dyDescent="0.25">
      <c r="A221" s="22" t="str">
        <f>J221&amp;". Monat"</f>
        <v>17. Monat</v>
      </c>
      <c r="B221" s="22"/>
      <c r="C221" s="22"/>
      <c r="D221" s="22"/>
      <c r="E221" s="22"/>
      <c r="F221" s="22"/>
      <c r="G221" s="22"/>
      <c r="H221" s="22"/>
      <c r="I221" s="23"/>
      <c r="J221">
        <v>17</v>
      </c>
    </row>
    <row r="222" spans="1:10" x14ac:dyDescent="0.25">
      <c r="A222" s="24"/>
      <c r="B222" s="24"/>
      <c r="C222" s="25" t="s">
        <v>205</v>
      </c>
      <c r="D222" s="11"/>
      <c r="E222" s="66">
        <f>(DATE(YEAR($E208),MONTH($E208)+1,1))</f>
        <v>487</v>
      </c>
      <c r="F222" s="14" t="s">
        <v>6</v>
      </c>
      <c r="G222" s="66">
        <f>EOMONTH($E222,0)</f>
        <v>517</v>
      </c>
      <c r="H222" s="24"/>
      <c r="I222" s="26"/>
    </row>
    <row r="223" spans="1:10" x14ac:dyDescent="0.25">
      <c r="A223" s="24"/>
      <c r="B223" s="24"/>
      <c r="C223" s="24"/>
      <c r="D223" s="24"/>
      <c r="E223" s="24"/>
      <c r="F223" s="24"/>
      <c r="G223" s="24"/>
      <c r="H223" s="24"/>
      <c r="I223" s="26"/>
    </row>
    <row r="224" spans="1:10" ht="45" x14ac:dyDescent="0.25">
      <c r="A224" s="27" t="s">
        <v>227</v>
      </c>
      <c r="B224" s="28" t="s">
        <v>197</v>
      </c>
      <c r="C224" s="27" t="s">
        <v>199</v>
      </c>
      <c r="D224" s="28" t="s">
        <v>198</v>
      </c>
      <c r="E224" s="27" t="s">
        <v>202</v>
      </c>
      <c r="F224" s="27" t="s">
        <v>200</v>
      </c>
      <c r="G224" s="28" t="s">
        <v>191</v>
      </c>
      <c r="H224" s="29"/>
      <c r="I224" s="30" t="s">
        <v>192</v>
      </c>
    </row>
    <row r="225" spans="1:10" ht="15.75" thickBot="1" x14ac:dyDescent="0.3">
      <c r="A225" s="10"/>
      <c r="B225" s="31"/>
      <c r="C225" s="14">
        <v>30</v>
      </c>
      <c r="D225" s="11"/>
      <c r="E225" s="14">
        <v>30</v>
      </c>
      <c r="F225" s="11"/>
      <c r="G225" s="32">
        <f>$A225</f>
        <v>0</v>
      </c>
      <c r="H225" s="31"/>
      <c r="I225" s="46">
        <f>IF($P$13=0,0,IF($N$5&gt;=12,$P$13,0))</f>
        <v>0</v>
      </c>
    </row>
    <row r="226" spans="1:10" x14ac:dyDescent="0.25">
      <c r="A226" s="24"/>
      <c r="B226" s="24"/>
      <c r="C226" s="24"/>
      <c r="D226" s="24"/>
      <c r="E226" s="24"/>
      <c r="F226" s="24"/>
      <c r="G226" s="24"/>
      <c r="H226" s="24"/>
      <c r="I226" s="26"/>
    </row>
    <row r="227" spans="1:10" x14ac:dyDescent="0.25">
      <c r="A227" s="31">
        <f>$G225</f>
        <v>0</v>
      </c>
      <c r="B227" s="33"/>
      <c r="C227" s="24" t="s">
        <v>193</v>
      </c>
      <c r="D227" s="24"/>
      <c r="E227" s="24"/>
      <c r="F227" s="24"/>
      <c r="G227" s="24"/>
      <c r="H227" s="24"/>
      <c r="I227" s="26"/>
    </row>
    <row r="228" spans="1:10" x14ac:dyDescent="0.25">
      <c r="A228" s="34">
        <f>A227*20/100</f>
        <v>0</v>
      </c>
      <c r="B228" s="35"/>
      <c r="C228" s="36" t="s">
        <v>194</v>
      </c>
      <c r="D228" s="36"/>
      <c r="E228" s="36"/>
      <c r="F228" s="24"/>
      <c r="G228" s="24"/>
      <c r="H228" s="24"/>
      <c r="I228" s="26"/>
    </row>
    <row r="229" spans="1:10" x14ac:dyDescent="0.25">
      <c r="A229" s="37">
        <f>A227+A228</f>
        <v>0</v>
      </c>
      <c r="B229" s="37"/>
      <c r="C229" s="38"/>
      <c r="D229" s="38"/>
      <c r="E229" s="24"/>
      <c r="F229" s="24"/>
      <c r="G229" s="24"/>
      <c r="H229" s="24"/>
      <c r="I229" s="26"/>
    </row>
    <row r="230" spans="1:10" ht="15.75" thickBot="1" x14ac:dyDescent="0.3">
      <c r="A230" s="40" t="str">
        <f>IF($N$3 =0,"erfassen",$N$3)</f>
        <v>erfassen</v>
      </c>
      <c r="B230" s="36"/>
      <c r="C230" s="36" t="s">
        <v>212</v>
      </c>
      <c r="D230" s="36"/>
      <c r="E230" s="36"/>
      <c r="F230" s="24"/>
      <c r="G230" s="24"/>
      <c r="H230" s="24"/>
      <c r="I230" s="26"/>
    </row>
    <row r="231" spans="1:10" x14ac:dyDescent="0.25">
      <c r="A231" s="80">
        <f>IF(OR($A229=0,$N$3=0),,$N$3*$A229/100)</f>
        <v>0</v>
      </c>
      <c r="B231" s="24"/>
      <c r="C231" s="24"/>
      <c r="D231" s="24"/>
      <c r="E231" s="24"/>
      <c r="F231" s="24"/>
      <c r="G231" s="90" t="s">
        <v>211</v>
      </c>
      <c r="H231" s="91"/>
      <c r="I231" s="39" t="s">
        <v>195</v>
      </c>
    </row>
    <row r="232" spans="1:10" x14ac:dyDescent="0.25">
      <c r="A232" s="80" t="str">
        <f>IF(AND($P$11 &lt;&gt;"",$P$11&lt;=$J221),IF(OR($A227=0,$N$3=0),0,$A231-20*$A231/100),IF(AND($P$9 &lt;&gt;"",$P$9&lt;=$J221),IF(OR($A227=0,$N$3=0),0,$A231-10*$A231/100),""))</f>
        <v/>
      </c>
      <c r="B232" s="24"/>
      <c r="C232" s="11" t="str">
        <f>IF(AND($P$11 &lt;&gt;"",$P$11&lt;=$J221),$N$11&amp;" Degression",IF(AND($P$9 &lt;&gt;"",$P$9&lt;=$J221),$N$9&amp;" Degression",""))</f>
        <v/>
      </c>
      <c r="D232" s="24"/>
      <c r="E232" s="24"/>
      <c r="F232" s="24"/>
      <c r="G232" s="88" t="s">
        <v>210</v>
      </c>
      <c r="H232" s="89"/>
      <c r="I232" s="41" t="str">
        <f>J221&amp;". Rate ausgezahlt"</f>
        <v>17. Rate ausgezahlt</v>
      </c>
    </row>
    <row r="233" spans="1:10" x14ac:dyDescent="0.25">
      <c r="A233" s="81">
        <f>IF(OR($A227=0,$N$3=0),,IF($A232="",$A231,$A232))</f>
        <v>0</v>
      </c>
      <c r="B233" s="81"/>
      <c r="C233" s="85" t="str">
        <f>IF($A233&lt;=$I225,"Förderung","Förderung, jedoch höchstens lt. Bescheid "&amp; $I225&amp;"€")</f>
        <v>Förderung</v>
      </c>
      <c r="D233" s="85"/>
      <c r="E233" s="85"/>
      <c r="F233" s="37"/>
      <c r="G233" s="86">
        <f>IF($A233&lt;=$I225,$A233, $I225)</f>
        <v>0</v>
      </c>
      <c r="H233" s="87"/>
      <c r="I233" s="47">
        <f>IF($N$5&gt;17,$I$37,0)</f>
        <v>0</v>
      </c>
    </row>
    <row r="234" spans="1:10" ht="15.75" thickBot="1" x14ac:dyDescent="0.3">
      <c r="A234" s="44"/>
      <c r="B234" s="44"/>
      <c r="C234" s="44"/>
      <c r="D234" s="44"/>
      <c r="E234" s="44"/>
      <c r="F234" s="44"/>
      <c r="G234" s="43"/>
      <c r="H234" s="44"/>
      <c r="I234" s="45"/>
    </row>
    <row r="235" spans="1:10" x14ac:dyDescent="0.25">
      <c r="A235" s="22" t="str">
        <f>J235&amp;". Monat"</f>
        <v>18. Monat</v>
      </c>
      <c r="B235" s="22"/>
      <c r="C235" s="22"/>
      <c r="D235" s="22"/>
      <c r="E235" s="22"/>
      <c r="F235" s="22"/>
      <c r="G235" s="22"/>
      <c r="H235" s="22"/>
      <c r="I235" s="23"/>
      <c r="J235">
        <v>18</v>
      </c>
    </row>
    <row r="236" spans="1:10" x14ac:dyDescent="0.25">
      <c r="A236" s="24"/>
      <c r="B236" s="24"/>
      <c r="C236" s="25" t="s">
        <v>205</v>
      </c>
      <c r="D236" s="11"/>
      <c r="E236" s="66">
        <f>(DATE(YEAR($E222),MONTH($E222)+1,1))</f>
        <v>518</v>
      </c>
      <c r="F236" s="14" t="s">
        <v>6</v>
      </c>
      <c r="G236" s="66">
        <f>EOMONTH($E236,0)</f>
        <v>547</v>
      </c>
      <c r="H236" s="24"/>
      <c r="I236" s="26"/>
    </row>
    <row r="237" spans="1:10" x14ac:dyDescent="0.25">
      <c r="A237" s="24"/>
      <c r="B237" s="24"/>
      <c r="C237" s="24"/>
      <c r="D237" s="24"/>
      <c r="E237" s="24"/>
      <c r="F237" s="24"/>
      <c r="G237" s="24"/>
      <c r="H237" s="24"/>
      <c r="I237" s="26"/>
    </row>
    <row r="238" spans="1:10" ht="45" x14ac:dyDescent="0.25">
      <c r="A238" s="27" t="s">
        <v>227</v>
      </c>
      <c r="B238" s="28" t="s">
        <v>197</v>
      </c>
      <c r="C238" s="27" t="s">
        <v>199</v>
      </c>
      <c r="D238" s="28" t="s">
        <v>198</v>
      </c>
      <c r="E238" s="27" t="s">
        <v>202</v>
      </c>
      <c r="F238" s="27" t="s">
        <v>200</v>
      </c>
      <c r="G238" s="28" t="s">
        <v>191</v>
      </c>
      <c r="H238" s="29"/>
      <c r="I238" s="30" t="s">
        <v>192</v>
      </c>
    </row>
    <row r="239" spans="1:10" ht="15.75" thickBot="1" x14ac:dyDescent="0.3">
      <c r="A239" s="10"/>
      <c r="B239" s="31"/>
      <c r="C239" s="14">
        <v>30</v>
      </c>
      <c r="D239" s="11"/>
      <c r="E239" s="14">
        <v>30</v>
      </c>
      <c r="F239" s="11"/>
      <c r="G239" s="32">
        <f>$A239</f>
        <v>0</v>
      </c>
      <c r="H239" s="31"/>
      <c r="I239" s="46">
        <f>IF($P$13=0,0,IF($N$5&gt;=12,$P$13,0))</f>
        <v>0</v>
      </c>
    </row>
    <row r="240" spans="1:10" x14ac:dyDescent="0.25">
      <c r="A240" s="24"/>
      <c r="B240" s="24"/>
      <c r="C240" s="24"/>
      <c r="D240" s="24"/>
      <c r="E240" s="24"/>
      <c r="F240" s="24"/>
      <c r="G240" s="24"/>
      <c r="H240" s="24"/>
      <c r="I240" s="26"/>
    </row>
    <row r="241" spans="1:10" x14ac:dyDescent="0.25">
      <c r="A241" s="31">
        <f>$G239</f>
        <v>0</v>
      </c>
      <c r="B241" s="33"/>
      <c r="C241" s="24" t="s">
        <v>193</v>
      </c>
      <c r="D241" s="24"/>
      <c r="E241" s="24"/>
      <c r="F241" s="24"/>
      <c r="G241" s="24"/>
      <c r="H241" s="24"/>
      <c r="I241" s="26"/>
    </row>
    <row r="242" spans="1:10" x14ac:dyDescent="0.25">
      <c r="A242" s="34">
        <f>A241*20/100</f>
        <v>0</v>
      </c>
      <c r="B242" s="35"/>
      <c r="C242" s="36" t="s">
        <v>194</v>
      </c>
      <c r="D242" s="36"/>
      <c r="E242" s="36"/>
      <c r="F242" s="24"/>
      <c r="G242" s="24"/>
      <c r="H242" s="24"/>
      <c r="I242" s="26"/>
    </row>
    <row r="243" spans="1:10" x14ac:dyDescent="0.25">
      <c r="A243" s="37">
        <f>A241+A242</f>
        <v>0</v>
      </c>
      <c r="B243" s="37"/>
      <c r="C243" s="38"/>
      <c r="D243" s="38"/>
      <c r="E243" s="24"/>
      <c r="F243" s="24"/>
      <c r="G243" s="24"/>
      <c r="H243" s="24"/>
      <c r="I243" s="26"/>
    </row>
    <row r="244" spans="1:10" ht="15.75" thickBot="1" x14ac:dyDescent="0.3">
      <c r="A244" s="40" t="str">
        <f>IF($N$3 =0,"erfassen",$N$3)</f>
        <v>erfassen</v>
      </c>
      <c r="B244" s="36"/>
      <c r="C244" s="36" t="s">
        <v>212</v>
      </c>
      <c r="D244" s="36"/>
      <c r="E244" s="36"/>
      <c r="F244" s="24"/>
      <c r="G244" s="24"/>
      <c r="H244" s="24"/>
      <c r="I244" s="26"/>
    </row>
    <row r="245" spans="1:10" x14ac:dyDescent="0.25">
      <c r="A245" s="80">
        <f>IF(OR($A243=0,$N$3=0),,$N$3*$A243/100)</f>
        <v>0</v>
      </c>
      <c r="B245" s="24"/>
      <c r="C245" s="24"/>
      <c r="D245" s="24"/>
      <c r="E245" s="24"/>
      <c r="F245" s="24"/>
      <c r="G245" s="90" t="s">
        <v>211</v>
      </c>
      <c r="H245" s="91"/>
      <c r="I245" s="39" t="s">
        <v>195</v>
      </c>
    </row>
    <row r="246" spans="1:10" x14ac:dyDescent="0.25">
      <c r="A246" s="80" t="str">
        <f>IF(AND($P$11 &lt;&gt;"",$P$11&lt;=$J235),IF(OR($A241=0,$N$3=0),0,$A245-20*$A245/100),IF(AND($P$9 &lt;&gt;"",$P$9&lt;=$J235),IF(OR($A241=0,$N$3=0),0,$A245-10*$A245/100),""))</f>
        <v/>
      </c>
      <c r="B246" s="24"/>
      <c r="C246" s="11" t="str">
        <f>IF(AND($P$11 &lt;&gt;"",$P$11&lt;=$J235),$N$11&amp;" Degression",IF(AND($P$9 &lt;&gt;"",$P$9&lt;=$J235),$N$9&amp;" Degression",""))</f>
        <v/>
      </c>
      <c r="D246" s="24"/>
      <c r="E246" s="24"/>
      <c r="F246" s="24"/>
      <c r="G246" s="88" t="s">
        <v>210</v>
      </c>
      <c r="H246" s="89"/>
      <c r="I246" s="41" t="str">
        <f>J235&amp;". Rate ausgezahlt"</f>
        <v>18. Rate ausgezahlt</v>
      </c>
    </row>
    <row r="247" spans="1:10" x14ac:dyDescent="0.25">
      <c r="A247" s="81">
        <f>IF(OR($A241=0,$N$3=0),,IF($A246="",$A245,$A246))</f>
        <v>0</v>
      </c>
      <c r="B247" s="81"/>
      <c r="C247" s="85" t="str">
        <f>IF($A247&lt;=$I239,"Förderung","Förderung, jedoch höchstens lt. Bescheid "&amp; $I239&amp;"€")</f>
        <v>Förderung</v>
      </c>
      <c r="D247" s="85"/>
      <c r="E247" s="85"/>
      <c r="F247" s="37"/>
      <c r="G247" s="86">
        <f>IF($A247&lt;=$I239,$A247, $I239)</f>
        <v>0</v>
      </c>
      <c r="H247" s="87"/>
      <c r="I247" s="47">
        <f>IF($N$5&gt;18,$I$37,0)</f>
        <v>0</v>
      </c>
    </row>
    <row r="248" spans="1:10" ht="15.75" thickBot="1" x14ac:dyDescent="0.3">
      <c r="A248" s="44"/>
      <c r="B248" s="44"/>
      <c r="C248" s="44"/>
      <c r="D248" s="44"/>
      <c r="E248" s="44"/>
      <c r="F248" s="44"/>
      <c r="G248" s="43"/>
      <c r="H248" s="44"/>
      <c r="I248" s="45"/>
    </row>
    <row r="249" spans="1:10" x14ac:dyDescent="0.25">
      <c r="A249" s="22" t="str">
        <f>J249&amp;". Monat"</f>
        <v>19. Monat</v>
      </c>
      <c r="B249" s="22"/>
      <c r="C249" s="22"/>
      <c r="D249" s="22"/>
      <c r="E249" s="22"/>
      <c r="F249" s="22"/>
      <c r="G249" s="22"/>
      <c r="H249" s="22"/>
      <c r="I249" s="23"/>
      <c r="J249">
        <v>19</v>
      </c>
    </row>
    <row r="250" spans="1:10" x14ac:dyDescent="0.25">
      <c r="A250" s="24"/>
      <c r="B250" s="24"/>
      <c r="C250" s="25" t="s">
        <v>205</v>
      </c>
      <c r="D250" s="11"/>
      <c r="E250" s="66">
        <f>(DATE(YEAR($E236),MONTH($E236)+1,1))</f>
        <v>548</v>
      </c>
      <c r="F250" s="14" t="s">
        <v>6</v>
      </c>
      <c r="G250" s="66">
        <f>EOMONTH($E250,0)</f>
        <v>578</v>
      </c>
      <c r="H250" s="24"/>
      <c r="I250" s="26"/>
    </row>
    <row r="251" spans="1:10" x14ac:dyDescent="0.25">
      <c r="A251" s="24"/>
      <c r="B251" s="24"/>
      <c r="C251" s="24"/>
      <c r="D251" s="24"/>
      <c r="E251" s="24"/>
      <c r="F251" s="24"/>
      <c r="G251" s="24"/>
      <c r="H251" s="24"/>
      <c r="I251" s="26"/>
    </row>
    <row r="252" spans="1:10" ht="45" x14ac:dyDescent="0.25">
      <c r="A252" s="27" t="s">
        <v>227</v>
      </c>
      <c r="B252" s="28" t="s">
        <v>197</v>
      </c>
      <c r="C252" s="27" t="s">
        <v>199</v>
      </c>
      <c r="D252" s="28" t="s">
        <v>198</v>
      </c>
      <c r="E252" s="27" t="s">
        <v>202</v>
      </c>
      <c r="F252" s="27" t="s">
        <v>200</v>
      </c>
      <c r="G252" s="28" t="s">
        <v>191</v>
      </c>
      <c r="H252" s="29"/>
      <c r="I252" s="30" t="s">
        <v>192</v>
      </c>
    </row>
    <row r="253" spans="1:10" ht="15.75" thickBot="1" x14ac:dyDescent="0.3">
      <c r="A253" s="10"/>
      <c r="B253" s="31"/>
      <c r="C253" s="14">
        <v>30</v>
      </c>
      <c r="D253" s="11"/>
      <c r="E253" s="14">
        <v>30</v>
      </c>
      <c r="F253" s="11"/>
      <c r="G253" s="32">
        <f>$A253</f>
        <v>0</v>
      </c>
      <c r="H253" s="31"/>
      <c r="I253" s="46">
        <f>IF($P$13=0,0,IF($N$5&gt;=12,$P$13,0))</f>
        <v>0</v>
      </c>
    </row>
    <row r="254" spans="1:10" x14ac:dyDescent="0.25">
      <c r="A254" s="24"/>
      <c r="B254" s="24"/>
      <c r="C254" s="24"/>
      <c r="D254" s="24"/>
      <c r="E254" s="24"/>
      <c r="F254" s="24"/>
      <c r="G254" s="24"/>
      <c r="H254" s="24"/>
      <c r="I254" s="26"/>
    </row>
    <row r="255" spans="1:10" x14ac:dyDescent="0.25">
      <c r="A255" s="31">
        <f>$G253</f>
        <v>0</v>
      </c>
      <c r="B255" s="33"/>
      <c r="C255" s="24" t="s">
        <v>193</v>
      </c>
      <c r="D255" s="24"/>
      <c r="E255" s="24"/>
      <c r="F255" s="24"/>
      <c r="G255" s="24"/>
      <c r="H255" s="24"/>
      <c r="I255" s="26"/>
    </row>
    <row r="256" spans="1:10" x14ac:dyDescent="0.25">
      <c r="A256" s="34">
        <f>A255*20/100</f>
        <v>0</v>
      </c>
      <c r="B256" s="35"/>
      <c r="C256" s="36" t="s">
        <v>194</v>
      </c>
      <c r="D256" s="36"/>
      <c r="E256" s="36"/>
      <c r="F256" s="24"/>
      <c r="G256" s="24"/>
      <c r="H256" s="24"/>
      <c r="I256" s="26"/>
    </row>
    <row r="257" spans="1:10" x14ac:dyDescent="0.25">
      <c r="A257" s="37">
        <f>A255+A256</f>
        <v>0</v>
      </c>
      <c r="B257" s="37"/>
      <c r="C257" s="38"/>
      <c r="D257" s="38"/>
      <c r="E257" s="24"/>
      <c r="F257" s="24"/>
      <c r="G257" s="24"/>
      <c r="H257" s="24"/>
      <c r="I257" s="26"/>
    </row>
    <row r="258" spans="1:10" ht="15.75" thickBot="1" x14ac:dyDescent="0.3">
      <c r="A258" s="40" t="str">
        <f>IF($N$3 =0,"erfassen",$N$3)</f>
        <v>erfassen</v>
      </c>
      <c r="B258" s="36"/>
      <c r="C258" s="36" t="s">
        <v>212</v>
      </c>
      <c r="D258" s="36"/>
      <c r="E258" s="36"/>
      <c r="F258" s="24"/>
      <c r="G258" s="24"/>
      <c r="H258" s="24"/>
      <c r="I258" s="26"/>
    </row>
    <row r="259" spans="1:10" x14ac:dyDescent="0.25">
      <c r="A259" s="80">
        <f>IF(OR($A257=0,$N$3=0),,$N$3*$A257/100)</f>
        <v>0</v>
      </c>
      <c r="B259" s="24"/>
      <c r="C259" s="24"/>
      <c r="D259" s="24"/>
      <c r="E259" s="24"/>
      <c r="F259" s="24"/>
      <c r="G259" s="90" t="s">
        <v>211</v>
      </c>
      <c r="H259" s="91"/>
      <c r="I259" s="39" t="s">
        <v>195</v>
      </c>
    </row>
    <row r="260" spans="1:10" x14ac:dyDescent="0.25">
      <c r="A260" s="80" t="str">
        <f>IF(AND($P$11 &lt;&gt;"",$P$11&lt;=$J249),IF(OR($A255=0,$N$3=0),0,$A259-20*$A259/100),IF(AND($P$9 &lt;&gt;"",$P$9&lt;=$J249),IF(OR($A255=0,$N$3=0),0,$A259-10*$A259/100),""))</f>
        <v/>
      </c>
      <c r="B260" s="24"/>
      <c r="C260" s="11" t="str">
        <f>IF(AND($P$11 &lt;&gt;"",$P$11&lt;=$J249),$N$11&amp;" Degression",IF(AND($P$9 &lt;&gt;"",$P$9&lt;=$J249),$N$9&amp;" Degression",""))</f>
        <v/>
      </c>
      <c r="D260" s="24"/>
      <c r="E260" s="24"/>
      <c r="F260" s="24"/>
      <c r="G260" s="88" t="s">
        <v>210</v>
      </c>
      <c r="H260" s="89"/>
      <c r="I260" s="41" t="str">
        <f>J249&amp;". Rate ausgezahlt"</f>
        <v>19. Rate ausgezahlt</v>
      </c>
    </row>
    <row r="261" spans="1:10" x14ac:dyDescent="0.25">
      <c r="A261" s="81">
        <f>IF(OR($A255=0,$N$3=0),,IF($A260="",$A259,$A260))</f>
        <v>0</v>
      </c>
      <c r="B261" s="81"/>
      <c r="C261" s="85" t="str">
        <f>IF($A261&lt;=$I253,"Förderung","Förderung, jedoch höchstens lt. Bescheid "&amp; $I253&amp;"€")</f>
        <v>Förderung</v>
      </c>
      <c r="D261" s="85"/>
      <c r="E261" s="85"/>
      <c r="F261" s="37"/>
      <c r="G261" s="86">
        <f>IF($A261&lt;=$I253,$A261, $I253)</f>
        <v>0</v>
      </c>
      <c r="H261" s="87"/>
      <c r="I261" s="47">
        <f>IF($N$5&gt;19,$I$37,0)</f>
        <v>0</v>
      </c>
    </row>
    <row r="262" spans="1:10" ht="15.75" thickBot="1" x14ac:dyDescent="0.3">
      <c r="A262" s="44"/>
      <c r="B262" s="44"/>
      <c r="C262" s="44"/>
      <c r="D262" s="44"/>
      <c r="E262" s="44"/>
      <c r="F262" s="44"/>
      <c r="G262" s="43"/>
      <c r="H262" s="44"/>
      <c r="I262" s="45"/>
    </row>
    <row r="263" spans="1:10" x14ac:dyDescent="0.25">
      <c r="A263" s="22" t="str">
        <f>J263&amp;". Monat"</f>
        <v>20. Monat</v>
      </c>
      <c r="B263" s="22"/>
      <c r="C263" s="22"/>
      <c r="D263" s="22"/>
      <c r="E263" s="22"/>
      <c r="F263" s="22"/>
      <c r="G263" s="22"/>
      <c r="H263" s="22"/>
      <c r="I263" s="23"/>
      <c r="J263">
        <v>20</v>
      </c>
    </row>
    <row r="264" spans="1:10" x14ac:dyDescent="0.25">
      <c r="A264" s="24"/>
      <c r="B264" s="24"/>
      <c r="C264" s="25" t="s">
        <v>205</v>
      </c>
      <c r="D264" s="11"/>
      <c r="E264" s="66">
        <f>(DATE(YEAR($E250),MONTH($E250)+1,1))</f>
        <v>579</v>
      </c>
      <c r="F264" s="14" t="s">
        <v>6</v>
      </c>
      <c r="G264" s="66">
        <f>EOMONTH($E264,0)</f>
        <v>609</v>
      </c>
      <c r="H264" s="24"/>
      <c r="I264" s="26"/>
    </row>
    <row r="265" spans="1:10" x14ac:dyDescent="0.25">
      <c r="A265" s="24"/>
      <c r="B265" s="24"/>
      <c r="C265" s="24"/>
      <c r="D265" s="24"/>
      <c r="E265" s="24"/>
      <c r="F265" s="24"/>
      <c r="G265" s="24"/>
      <c r="H265" s="24"/>
      <c r="I265" s="26"/>
    </row>
    <row r="266" spans="1:10" ht="45" x14ac:dyDescent="0.25">
      <c r="A266" s="27" t="s">
        <v>227</v>
      </c>
      <c r="B266" s="28" t="s">
        <v>197</v>
      </c>
      <c r="C266" s="27" t="s">
        <v>199</v>
      </c>
      <c r="D266" s="28" t="s">
        <v>198</v>
      </c>
      <c r="E266" s="27" t="s">
        <v>202</v>
      </c>
      <c r="F266" s="27" t="s">
        <v>200</v>
      </c>
      <c r="G266" s="28" t="s">
        <v>191</v>
      </c>
      <c r="H266" s="29"/>
      <c r="I266" s="30" t="s">
        <v>192</v>
      </c>
    </row>
    <row r="267" spans="1:10" ht="15.75" thickBot="1" x14ac:dyDescent="0.3">
      <c r="A267" s="10"/>
      <c r="B267" s="31"/>
      <c r="C267" s="14">
        <v>30</v>
      </c>
      <c r="D267" s="11"/>
      <c r="E267" s="14">
        <v>30</v>
      </c>
      <c r="F267" s="11"/>
      <c r="G267" s="32">
        <f>$A267</f>
        <v>0</v>
      </c>
      <c r="H267" s="31"/>
      <c r="I267" s="46">
        <f>IF($P$13=0,0,IF($N$5&gt;=12,$P$13,0))</f>
        <v>0</v>
      </c>
    </row>
    <row r="268" spans="1:10" x14ac:dyDescent="0.25">
      <c r="A268" s="24"/>
      <c r="B268" s="24"/>
      <c r="C268" s="24"/>
      <c r="D268" s="24"/>
      <c r="E268" s="24"/>
      <c r="F268" s="24"/>
      <c r="G268" s="24"/>
      <c r="H268" s="24"/>
      <c r="I268" s="26"/>
    </row>
    <row r="269" spans="1:10" x14ac:dyDescent="0.25">
      <c r="A269" s="31">
        <f>$G267</f>
        <v>0</v>
      </c>
      <c r="B269" s="33"/>
      <c r="C269" s="24" t="s">
        <v>193</v>
      </c>
      <c r="D269" s="24"/>
      <c r="E269" s="24"/>
      <c r="F269" s="24"/>
      <c r="G269" s="24"/>
      <c r="H269" s="24"/>
      <c r="I269" s="26"/>
    </row>
    <row r="270" spans="1:10" x14ac:dyDescent="0.25">
      <c r="A270" s="34">
        <f>A269*20/100</f>
        <v>0</v>
      </c>
      <c r="B270" s="35"/>
      <c r="C270" s="36" t="s">
        <v>194</v>
      </c>
      <c r="D270" s="36"/>
      <c r="E270" s="36"/>
      <c r="F270" s="24"/>
      <c r="G270" s="24"/>
      <c r="H270" s="24"/>
      <c r="I270" s="26"/>
    </row>
    <row r="271" spans="1:10" x14ac:dyDescent="0.25">
      <c r="A271" s="37">
        <f>A269+A270</f>
        <v>0</v>
      </c>
      <c r="B271" s="37"/>
      <c r="C271" s="38"/>
      <c r="D271" s="38"/>
      <c r="E271" s="24"/>
      <c r="F271" s="24"/>
      <c r="G271" s="24"/>
      <c r="H271" s="24"/>
      <c r="I271" s="26"/>
    </row>
    <row r="272" spans="1:10" ht="15.75" thickBot="1" x14ac:dyDescent="0.3">
      <c r="A272" s="40" t="str">
        <f>IF($N$3 =0,"erfassen",$N$3)</f>
        <v>erfassen</v>
      </c>
      <c r="B272" s="36"/>
      <c r="C272" s="36" t="s">
        <v>212</v>
      </c>
      <c r="D272" s="36"/>
      <c r="E272" s="36"/>
      <c r="F272" s="24"/>
      <c r="G272" s="24"/>
      <c r="H272" s="24"/>
      <c r="I272" s="26"/>
    </row>
    <row r="273" spans="1:10" x14ac:dyDescent="0.25">
      <c r="A273" s="80">
        <f>IF(OR($A271=0,$N$3=0),,$N$3*$A271/100)</f>
        <v>0</v>
      </c>
      <c r="B273" s="24"/>
      <c r="C273" s="24"/>
      <c r="D273" s="24"/>
      <c r="E273" s="24"/>
      <c r="F273" s="24"/>
      <c r="G273" s="90" t="s">
        <v>211</v>
      </c>
      <c r="H273" s="91"/>
      <c r="I273" s="39" t="s">
        <v>195</v>
      </c>
    </row>
    <row r="274" spans="1:10" x14ac:dyDescent="0.25">
      <c r="A274" s="80" t="str">
        <f>IF(AND($P$11 &lt;&gt;"",$P$11&lt;=$J263),IF(OR($A269=0,$N$3=0),0,$A273-20*$A273/100),IF(AND($P$9 &lt;&gt;"",$P$9&lt;=$J263),IF(OR($A269=0,$N$3=0),0,$A273-10*$A273/100),""))</f>
        <v/>
      </c>
      <c r="B274" s="24"/>
      <c r="C274" s="11" t="str">
        <f>IF(AND($P$11 &lt;&gt;"",$P$11&lt;=$J263),$N$11&amp;" Degression",IF(AND($P$9 &lt;&gt;"",$P$9&lt;=$J263),$N$9&amp;" Degression",""))</f>
        <v/>
      </c>
      <c r="D274" s="24"/>
      <c r="E274" s="24"/>
      <c r="F274" s="24"/>
      <c r="G274" s="88" t="s">
        <v>210</v>
      </c>
      <c r="H274" s="89"/>
      <c r="I274" s="41" t="str">
        <f>J263&amp;". Rate ausgezahlt"</f>
        <v>20. Rate ausgezahlt</v>
      </c>
    </row>
    <row r="275" spans="1:10" x14ac:dyDescent="0.25">
      <c r="A275" s="81">
        <f>IF(OR($A269=0,$N$3=0),,IF($A274="",$A273,$A274))</f>
        <v>0</v>
      </c>
      <c r="B275" s="81"/>
      <c r="C275" s="85" t="str">
        <f>IF($A275&lt;=$I267,"Förderung","Förderung, jedoch höchstens lt. Bescheid "&amp; $I267&amp;"€")</f>
        <v>Förderung</v>
      </c>
      <c r="D275" s="85"/>
      <c r="E275" s="85"/>
      <c r="F275" s="37"/>
      <c r="G275" s="86">
        <f>IF($A275&lt;=$I267,$A275, $I267)</f>
        <v>0</v>
      </c>
      <c r="H275" s="87"/>
      <c r="I275" s="47">
        <f>IF($N$5&gt;20,$I$37,0)</f>
        <v>0</v>
      </c>
    </row>
    <row r="276" spans="1:10" ht="15.75" thickBot="1" x14ac:dyDescent="0.3">
      <c r="A276" s="44"/>
      <c r="B276" s="44"/>
      <c r="C276" s="44"/>
      <c r="D276" s="44"/>
      <c r="E276" s="44"/>
      <c r="F276" s="44"/>
      <c r="G276" s="43"/>
      <c r="H276" s="44"/>
      <c r="I276" s="45"/>
    </row>
    <row r="277" spans="1:10" x14ac:dyDescent="0.25">
      <c r="A277" s="22" t="str">
        <f>J277&amp;". Monat"</f>
        <v>21. Monat</v>
      </c>
      <c r="B277" s="22"/>
      <c r="C277" s="22"/>
      <c r="D277" s="22"/>
      <c r="E277" s="22"/>
      <c r="F277" s="22"/>
      <c r="G277" s="22"/>
      <c r="H277" s="22"/>
      <c r="I277" s="23"/>
      <c r="J277">
        <v>21</v>
      </c>
    </row>
    <row r="278" spans="1:10" x14ac:dyDescent="0.25">
      <c r="A278" s="24"/>
      <c r="B278" s="24"/>
      <c r="C278" s="25" t="s">
        <v>205</v>
      </c>
      <c r="D278" s="11"/>
      <c r="E278" s="66">
        <f>(DATE(YEAR($E264),MONTH($E264)+1,1))</f>
        <v>610</v>
      </c>
      <c r="F278" s="14" t="s">
        <v>6</v>
      </c>
      <c r="G278" s="66">
        <f>EOMONTH($E278,0)</f>
        <v>639</v>
      </c>
      <c r="H278" s="24"/>
      <c r="I278" s="26"/>
    </row>
    <row r="279" spans="1:10" x14ac:dyDescent="0.25">
      <c r="A279" s="24"/>
      <c r="B279" s="24"/>
      <c r="C279" s="24"/>
      <c r="D279" s="24"/>
      <c r="E279" s="24"/>
      <c r="F279" s="24"/>
      <c r="G279" s="24"/>
      <c r="H279" s="24"/>
      <c r="I279" s="26"/>
    </row>
    <row r="280" spans="1:10" ht="45" x14ac:dyDescent="0.25">
      <c r="A280" s="27" t="s">
        <v>227</v>
      </c>
      <c r="B280" s="28" t="s">
        <v>197</v>
      </c>
      <c r="C280" s="27" t="s">
        <v>199</v>
      </c>
      <c r="D280" s="28" t="s">
        <v>198</v>
      </c>
      <c r="E280" s="27" t="s">
        <v>202</v>
      </c>
      <c r="F280" s="27" t="s">
        <v>200</v>
      </c>
      <c r="G280" s="28" t="s">
        <v>191</v>
      </c>
      <c r="H280" s="29"/>
      <c r="I280" s="30" t="s">
        <v>192</v>
      </c>
    </row>
    <row r="281" spans="1:10" ht="15.75" thickBot="1" x14ac:dyDescent="0.3">
      <c r="A281" s="10"/>
      <c r="B281" s="31"/>
      <c r="C281" s="14">
        <v>30</v>
      </c>
      <c r="D281" s="11"/>
      <c r="E281" s="14">
        <v>30</v>
      </c>
      <c r="F281" s="11"/>
      <c r="G281" s="32">
        <f>$A281</f>
        <v>0</v>
      </c>
      <c r="H281" s="31"/>
      <c r="I281" s="46">
        <f>IF($P$13=0,0,IF($N$5&gt;=12,$P$13,0))</f>
        <v>0</v>
      </c>
    </row>
    <row r="282" spans="1:10" x14ac:dyDescent="0.25">
      <c r="A282" s="24"/>
      <c r="B282" s="24"/>
      <c r="C282" s="24"/>
      <c r="D282" s="24"/>
      <c r="E282" s="24"/>
      <c r="F282" s="24"/>
      <c r="G282" s="24"/>
      <c r="H282" s="24"/>
      <c r="I282" s="26"/>
    </row>
    <row r="283" spans="1:10" x14ac:dyDescent="0.25">
      <c r="A283" s="31">
        <f>$G281</f>
        <v>0</v>
      </c>
      <c r="B283" s="33"/>
      <c r="C283" s="24" t="s">
        <v>193</v>
      </c>
      <c r="D283" s="24"/>
      <c r="E283" s="24"/>
      <c r="F283" s="24"/>
      <c r="G283" s="24"/>
      <c r="H283" s="24"/>
      <c r="I283" s="26"/>
    </row>
    <row r="284" spans="1:10" x14ac:dyDescent="0.25">
      <c r="A284" s="34">
        <f>A283*20/100</f>
        <v>0</v>
      </c>
      <c r="B284" s="35"/>
      <c r="C284" s="36" t="s">
        <v>194</v>
      </c>
      <c r="D284" s="36"/>
      <c r="E284" s="36"/>
      <c r="F284" s="24"/>
      <c r="G284" s="24"/>
      <c r="H284" s="24"/>
      <c r="I284" s="26"/>
    </row>
    <row r="285" spans="1:10" x14ac:dyDescent="0.25">
      <c r="A285" s="37">
        <f>A283+A284</f>
        <v>0</v>
      </c>
      <c r="B285" s="37"/>
      <c r="C285" s="38"/>
      <c r="D285" s="38"/>
      <c r="E285" s="24"/>
      <c r="F285" s="24"/>
      <c r="G285" s="24"/>
      <c r="H285" s="24"/>
      <c r="I285" s="26"/>
    </row>
    <row r="286" spans="1:10" ht="15.75" thickBot="1" x14ac:dyDescent="0.3">
      <c r="A286" s="40" t="str">
        <f>IF($N$3 =0,"erfassen",$N$3)</f>
        <v>erfassen</v>
      </c>
      <c r="B286" s="36"/>
      <c r="C286" s="36" t="s">
        <v>212</v>
      </c>
      <c r="D286" s="36"/>
      <c r="E286" s="36"/>
      <c r="F286" s="24"/>
      <c r="G286" s="24"/>
      <c r="H286" s="24"/>
      <c r="I286" s="26"/>
    </row>
    <row r="287" spans="1:10" x14ac:dyDescent="0.25">
      <c r="A287" s="80">
        <f>IF(OR($A285=0,$N$3=0),,$N$3*$A285/100)</f>
        <v>0</v>
      </c>
      <c r="B287" s="24"/>
      <c r="C287" s="24"/>
      <c r="D287" s="24"/>
      <c r="E287" s="24"/>
      <c r="F287" s="24"/>
      <c r="G287" s="90" t="s">
        <v>211</v>
      </c>
      <c r="H287" s="91"/>
      <c r="I287" s="39" t="s">
        <v>195</v>
      </c>
    </row>
    <row r="288" spans="1:10" x14ac:dyDescent="0.25">
      <c r="A288" s="80" t="str">
        <f>IF(AND($P$11 &lt;&gt;"",$P$11&lt;=$J277),IF(OR($A283=0,$N$3=0),0,$A287-20*$A287/100),IF(AND($P$9 &lt;&gt;"",$P$9&lt;=$J277),IF(OR($A283=0,$N$3=0),0,$A287-10*$A287/100),""))</f>
        <v/>
      </c>
      <c r="B288" s="24"/>
      <c r="C288" s="11" t="str">
        <f>IF(AND($P$11 &lt;&gt;"",$P$11&lt;=$J277),$N$11&amp;" Degression",IF(AND($P$9 &lt;&gt;"",$P$9&lt;=$J277),$N$9&amp;" Degression",""))</f>
        <v/>
      </c>
      <c r="D288" s="24"/>
      <c r="E288" s="24"/>
      <c r="F288" s="24"/>
      <c r="G288" s="88" t="s">
        <v>210</v>
      </c>
      <c r="H288" s="89"/>
      <c r="I288" s="41" t="str">
        <f>J277&amp;". Rate ausgezahlt"</f>
        <v>21. Rate ausgezahlt</v>
      </c>
    </row>
    <row r="289" spans="1:10" x14ac:dyDescent="0.25">
      <c r="A289" s="81">
        <f>IF(OR($A283=0,$N$3=0),,IF($A288="",$A287,$A288))</f>
        <v>0</v>
      </c>
      <c r="B289" s="81"/>
      <c r="C289" s="85" t="str">
        <f>IF($A289&lt;=$I281,"Förderung","Förderung, jedoch höchstens lt. Bescheid "&amp; $I281&amp;"€")</f>
        <v>Förderung</v>
      </c>
      <c r="D289" s="85"/>
      <c r="E289" s="85"/>
      <c r="F289" s="37"/>
      <c r="G289" s="86">
        <f>IF($A289&lt;=$I281,$A289, $I281)</f>
        <v>0</v>
      </c>
      <c r="H289" s="87"/>
      <c r="I289" s="47">
        <f>IF($N$5&gt;21,$I$37,0)</f>
        <v>0</v>
      </c>
    </row>
    <row r="290" spans="1:10" ht="15.75" thickBot="1" x14ac:dyDescent="0.3">
      <c r="A290" s="44"/>
      <c r="B290" s="44"/>
      <c r="C290" s="44"/>
      <c r="D290" s="44"/>
      <c r="E290" s="44"/>
      <c r="F290" s="44"/>
      <c r="G290" s="43"/>
      <c r="H290" s="44"/>
      <c r="I290" s="45"/>
    </row>
    <row r="291" spans="1:10" x14ac:dyDescent="0.25">
      <c r="A291" s="22" t="str">
        <f>J291&amp;". Monat"</f>
        <v>22. Monat</v>
      </c>
      <c r="B291" s="22"/>
      <c r="C291" s="22"/>
      <c r="D291" s="22"/>
      <c r="E291" s="22"/>
      <c r="F291" s="22"/>
      <c r="G291" s="22"/>
      <c r="H291" s="22"/>
      <c r="I291" s="23"/>
      <c r="J291">
        <v>22</v>
      </c>
    </row>
    <row r="292" spans="1:10" x14ac:dyDescent="0.25">
      <c r="A292" s="24"/>
      <c r="B292" s="24"/>
      <c r="C292" s="25" t="s">
        <v>205</v>
      </c>
      <c r="D292" s="11"/>
      <c r="E292" s="66">
        <f>(DATE(YEAR($E278),MONTH($E278)+1,1))</f>
        <v>640</v>
      </c>
      <c r="F292" s="14" t="s">
        <v>6</v>
      </c>
      <c r="G292" s="66">
        <f>EOMONTH($E292,0)</f>
        <v>670</v>
      </c>
      <c r="H292" s="24"/>
      <c r="I292" s="26"/>
    </row>
    <row r="293" spans="1:10" x14ac:dyDescent="0.25">
      <c r="A293" s="24"/>
      <c r="B293" s="24"/>
      <c r="C293" s="24"/>
      <c r="D293" s="24"/>
      <c r="E293" s="24"/>
      <c r="F293" s="24"/>
      <c r="G293" s="24"/>
      <c r="H293" s="24"/>
      <c r="I293" s="26"/>
    </row>
    <row r="294" spans="1:10" ht="45" x14ac:dyDescent="0.25">
      <c r="A294" s="27" t="s">
        <v>227</v>
      </c>
      <c r="B294" s="28" t="s">
        <v>197</v>
      </c>
      <c r="C294" s="27" t="s">
        <v>199</v>
      </c>
      <c r="D294" s="28" t="s">
        <v>198</v>
      </c>
      <c r="E294" s="27" t="s">
        <v>202</v>
      </c>
      <c r="F294" s="27" t="s">
        <v>200</v>
      </c>
      <c r="G294" s="28" t="s">
        <v>191</v>
      </c>
      <c r="H294" s="29"/>
      <c r="I294" s="30" t="s">
        <v>192</v>
      </c>
    </row>
    <row r="295" spans="1:10" ht="15.75" thickBot="1" x14ac:dyDescent="0.3">
      <c r="A295" s="10"/>
      <c r="B295" s="31"/>
      <c r="C295" s="14">
        <v>30</v>
      </c>
      <c r="D295" s="11"/>
      <c r="E295" s="14">
        <v>30</v>
      </c>
      <c r="F295" s="11"/>
      <c r="G295" s="32">
        <f>$A295</f>
        <v>0</v>
      </c>
      <c r="H295" s="31"/>
      <c r="I295" s="46">
        <f>IF($P$13=0,0,IF($N$5&gt;=12,$P$13,0))</f>
        <v>0</v>
      </c>
    </row>
    <row r="296" spans="1:10" x14ac:dyDescent="0.25">
      <c r="A296" s="24"/>
      <c r="B296" s="24"/>
      <c r="C296" s="24"/>
      <c r="D296" s="24"/>
      <c r="E296" s="24"/>
      <c r="F296" s="24"/>
      <c r="G296" s="24"/>
      <c r="H296" s="24"/>
      <c r="I296" s="26"/>
    </row>
    <row r="297" spans="1:10" x14ac:dyDescent="0.25">
      <c r="A297" s="31">
        <f>$G295</f>
        <v>0</v>
      </c>
      <c r="B297" s="33"/>
      <c r="C297" s="24" t="s">
        <v>193</v>
      </c>
      <c r="D297" s="24"/>
      <c r="E297" s="24"/>
      <c r="F297" s="24"/>
      <c r="G297" s="24"/>
      <c r="H297" s="24"/>
      <c r="I297" s="26"/>
    </row>
    <row r="298" spans="1:10" x14ac:dyDescent="0.25">
      <c r="A298" s="34">
        <f>A297*20/100</f>
        <v>0</v>
      </c>
      <c r="B298" s="35"/>
      <c r="C298" s="36" t="s">
        <v>194</v>
      </c>
      <c r="D298" s="36"/>
      <c r="E298" s="36"/>
      <c r="F298" s="24"/>
      <c r="G298" s="24"/>
      <c r="H298" s="24"/>
      <c r="I298" s="26"/>
    </row>
    <row r="299" spans="1:10" x14ac:dyDescent="0.25">
      <c r="A299" s="37">
        <f>A297+A298</f>
        <v>0</v>
      </c>
      <c r="B299" s="37"/>
      <c r="C299" s="38"/>
      <c r="D299" s="38"/>
      <c r="E299" s="24"/>
      <c r="F299" s="24"/>
      <c r="G299" s="24"/>
      <c r="H299" s="24"/>
      <c r="I299" s="26"/>
    </row>
    <row r="300" spans="1:10" ht="15.75" thickBot="1" x14ac:dyDescent="0.3">
      <c r="A300" s="40" t="str">
        <f>IF($N$3 =0,"erfassen",$N$3)</f>
        <v>erfassen</v>
      </c>
      <c r="B300" s="36"/>
      <c r="C300" s="36" t="s">
        <v>212</v>
      </c>
      <c r="D300" s="36"/>
      <c r="E300" s="36"/>
      <c r="F300" s="24"/>
      <c r="G300" s="24"/>
      <c r="H300" s="24"/>
      <c r="I300" s="26"/>
    </row>
    <row r="301" spans="1:10" x14ac:dyDescent="0.25">
      <c r="A301" s="80">
        <f>IF(OR($A299=0,$N$3=0),,$N$3*$A299/100)</f>
        <v>0</v>
      </c>
      <c r="B301" s="24"/>
      <c r="C301" s="24"/>
      <c r="D301" s="24"/>
      <c r="E301" s="24"/>
      <c r="F301" s="24"/>
      <c r="G301" s="90" t="s">
        <v>211</v>
      </c>
      <c r="H301" s="91"/>
      <c r="I301" s="39" t="s">
        <v>195</v>
      </c>
    </row>
    <row r="302" spans="1:10" x14ac:dyDescent="0.25">
      <c r="A302" s="80" t="str">
        <f>IF(AND($P$11 &lt;&gt;"",$P$11&lt;=$J291),IF(OR($A297=0,$N$3=0),0,$A301-20*$A301/100),IF(AND($P$9 &lt;&gt;"",$P$9&lt;=$J291),IF(OR($A297=0,$N$3=0),0,$A301-10*$A301/100),""))</f>
        <v/>
      </c>
      <c r="B302" s="24"/>
      <c r="C302" s="11" t="str">
        <f>IF(AND($P$11 &lt;&gt;"",$P$11&lt;=$J291),$N$11&amp;" Degression",IF(AND($P$9 &lt;&gt;"",$P$9&lt;=$J291),$N$9&amp;" Degression",""))</f>
        <v/>
      </c>
      <c r="D302" s="24"/>
      <c r="E302" s="24"/>
      <c r="F302" s="24"/>
      <c r="G302" s="88" t="s">
        <v>210</v>
      </c>
      <c r="H302" s="89"/>
      <c r="I302" s="41" t="str">
        <f>J291&amp;". Rate ausgezahlt"</f>
        <v>22. Rate ausgezahlt</v>
      </c>
    </row>
    <row r="303" spans="1:10" x14ac:dyDescent="0.25">
      <c r="A303" s="81">
        <f>IF(OR($A297=0,$N$3=0),,IF($A302="",$A301,$A302))</f>
        <v>0</v>
      </c>
      <c r="B303" s="81"/>
      <c r="C303" s="85" t="str">
        <f>IF($A303&lt;=$I295,"Förderung","Förderung, jedoch höchstens lt. Bescheid "&amp; $I295&amp;"€")</f>
        <v>Förderung</v>
      </c>
      <c r="D303" s="85"/>
      <c r="E303" s="85"/>
      <c r="F303" s="37"/>
      <c r="G303" s="86">
        <f>IF($A303&lt;=$I295,$A303, $I295)</f>
        <v>0</v>
      </c>
      <c r="H303" s="87"/>
      <c r="I303" s="47">
        <f>IF($N$5&gt;22,$I$37,0)</f>
        <v>0</v>
      </c>
    </row>
    <row r="304" spans="1:10" ht="15.75" thickBot="1" x14ac:dyDescent="0.3">
      <c r="A304" s="44"/>
      <c r="B304" s="44"/>
      <c r="C304" s="44"/>
      <c r="D304" s="44"/>
      <c r="E304" s="44"/>
      <c r="F304" s="44"/>
      <c r="G304" s="43"/>
      <c r="H304" s="44"/>
      <c r="I304" s="45"/>
    </row>
    <row r="305" spans="1:10" x14ac:dyDescent="0.25">
      <c r="A305" s="22" t="str">
        <f>J305&amp;". Monat"</f>
        <v>23. Monat</v>
      </c>
      <c r="B305" s="22"/>
      <c r="C305" s="22"/>
      <c r="D305" s="22"/>
      <c r="E305" s="22"/>
      <c r="F305" s="22"/>
      <c r="G305" s="22"/>
      <c r="H305" s="22"/>
      <c r="I305" s="23"/>
      <c r="J305">
        <v>23</v>
      </c>
    </row>
    <row r="306" spans="1:10" x14ac:dyDescent="0.25">
      <c r="A306" s="24"/>
      <c r="B306" s="24"/>
      <c r="C306" s="25" t="s">
        <v>205</v>
      </c>
      <c r="D306" s="11"/>
      <c r="E306" s="66">
        <f>(DATE(YEAR($E292),MONTH($E292)+1,1))</f>
        <v>671</v>
      </c>
      <c r="F306" s="14" t="s">
        <v>6</v>
      </c>
      <c r="G306" s="66">
        <f>EOMONTH($E306,0)</f>
        <v>700</v>
      </c>
      <c r="H306" s="24"/>
      <c r="I306" s="26"/>
    </row>
    <row r="307" spans="1:10" x14ac:dyDescent="0.25">
      <c r="A307" s="24"/>
      <c r="B307" s="24"/>
      <c r="C307" s="24"/>
      <c r="D307" s="24"/>
      <c r="E307" s="24"/>
      <c r="F307" s="24"/>
      <c r="G307" s="24"/>
      <c r="H307" s="24"/>
      <c r="I307" s="26"/>
    </row>
    <row r="308" spans="1:10" ht="45" x14ac:dyDescent="0.25">
      <c r="A308" s="27" t="s">
        <v>227</v>
      </c>
      <c r="B308" s="28" t="s">
        <v>197</v>
      </c>
      <c r="C308" s="27" t="s">
        <v>199</v>
      </c>
      <c r="D308" s="28" t="s">
        <v>198</v>
      </c>
      <c r="E308" s="27" t="s">
        <v>202</v>
      </c>
      <c r="F308" s="27" t="s">
        <v>200</v>
      </c>
      <c r="G308" s="28" t="s">
        <v>191</v>
      </c>
      <c r="H308" s="29"/>
      <c r="I308" s="30" t="s">
        <v>192</v>
      </c>
    </row>
    <row r="309" spans="1:10" ht="15.75" thickBot="1" x14ac:dyDescent="0.3">
      <c r="A309" s="10"/>
      <c r="B309" s="31"/>
      <c r="C309" s="14">
        <v>30</v>
      </c>
      <c r="D309" s="11"/>
      <c r="E309" s="14">
        <v>30</v>
      </c>
      <c r="F309" s="11"/>
      <c r="G309" s="32">
        <f>$A309</f>
        <v>0</v>
      </c>
      <c r="H309" s="31"/>
      <c r="I309" s="46">
        <f>IF($P$13=0,0,IF($N$5&gt;=12,$P$13,0))</f>
        <v>0</v>
      </c>
    </row>
    <row r="310" spans="1:10" x14ac:dyDescent="0.25">
      <c r="A310" s="24"/>
      <c r="B310" s="24"/>
      <c r="C310" s="24"/>
      <c r="D310" s="24"/>
      <c r="E310" s="24"/>
      <c r="F310" s="24"/>
      <c r="G310" s="24"/>
      <c r="H310" s="24"/>
      <c r="I310" s="26"/>
    </row>
    <row r="311" spans="1:10" x14ac:dyDescent="0.25">
      <c r="A311" s="31">
        <f>$G309</f>
        <v>0</v>
      </c>
      <c r="B311" s="33"/>
      <c r="C311" s="24" t="s">
        <v>193</v>
      </c>
      <c r="D311" s="24"/>
      <c r="E311" s="24"/>
      <c r="F311" s="24"/>
      <c r="G311" s="24"/>
      <c r="H311" s="24"/>
      <c r="I311" s="26"/>
    </row>
    <row r="312" spans="1:10" x14ac:dyDescent="0.25">
      <c r="A312" s="34">
        <f>A311*20/100</f>
        <v>0</v>
      </c>
      <c r="B312" s="35"/>
      <c r="C312" s="36" t="s">
        <v>194</v>
      </c>
      <c r="D312" s="36"/>
      <c r="E312" s="36"/>
      <c r="F312" s="24"/>
      <c r="G312" s="24"/>
      <c r="H312" s="24"/>
      <c r="I312" s="26"/>
    </row>
    <row r="313" spans="1:10" x14ac:dyDescent="0.25">
      <c r="A313" s="37">
        <f>A311+A312</f>
        <v>0</v>
      </c>
      <c r="B313" s="37"/>
      <c r="C313" s="38"/>
      <c r="D313" s="38"/>
      <c r="E313" s="24"/>
      <c r="F313" s="24"/>
      <c r="G313" s="24"/>
      <c r="H313" s="24"/>
      <c r="I313" s="26"/>
    </row>
    <row r="314" spans="1:10" ht="15.75" thickBot="1" x14ac:dyDescent="0.3">
      <c r="A314" s="40" t="str">
        <f>IF($N$3 =0,"erfassen",$N$3)</f>
        <v>erfassen</v>
      </c>
      <c r="B314" s="36"/>
      <c r="C314" s="36" t="s">
        <v>212</v>
      </c>
      <c r="D314" s="36"/>
      <c r="E314" s="36"/>
      <c r="F314" s="24"/>
      <c r="G314" s="24"/>
      <c r="H314" s="24"/>
      <c r="I314" s="26"/>
    </row>
    <row r="315" spans="1:10" x14ac:dyDescent="0.25">
      <c r="A315" s="80">
        <f>IF(OR($A313=0,$N$3=0),,$N$3*$A313/100)</f>
        <v>0</v>
      </c>
      <c r="B315" s="24"/>
      <c r="C315" s="24"/>
      <c r="D315" s="24"/>
      <c r="E315" s="24"/>
      <c r="F315" s="24"/>
      <c r="G315" s="90" t="s">
        <v>211</v>
      </c>
      <c r="H315" s="91"/>
      <c r="I315" s="39" t="s">
        <v>195</v>
      </c>
    </row>
    <row r="316" spans="1:10" x14ac:dyDescent="0.25">
      <c r="A316" s="80" t="str">
        <f>IF(AND($P$11 &lt;&gt;"",$P$11&lt;=$J305),IF(OR($A311=0,$N$3=0),0,$A315-20*$A315/100),IF(AND($P$9 &lt;&gt;"",$P$9&lt;=$J305),IF(OR($A311=0,$N$3=0),0,$A315-10*$A315/100),""))</f>
        <v/>
      </c>
      <c r="B316" s="24"/>
      <c r="C316" s="11" t="str">
        <f>IF(AND($P$11 &lt;&gt;"",$P$11&lt;=$J305),$N$11&amp;" Degression",IF(AND($P$9 &lt;&gt;"",$P$9&lt;=$J305),$N$9&amp;" Degression",""))</f>
        <v/>
      </c>
      <c r="D316" s="24"/>
      <c r="E316" s="24"/>
      <c r="F316" s="24"/>
      <c r="G316" s="88" t="s">
        <v>210</v>
      </c>
      <c r="H316" s="89"/>
      <c r="I316" s="41" t="str">
        <f>J305&amp;". Rate ausgezahlt"</f>
        <v>23. Rate ausgezahlt</v>
      </c>
    </row>
    <row r="317" spans="1:10" x14ac:dyDescent="0.25">
      <c r="A317" s="81">
        <f>IF(OR($A311=0,$N$3=0),,IF($A316="",$A315,$A316))</f>
        <v>0</v>
      </c>
      <c r="B317" s="81"/>
      <c r="C317" s="85" t="str">
        <f>IF($A317&lt;=$I309,"Förderung","Förderung, jedoch höchstens lt. Bescheid "&amp; $I309&amp;"€")</f>
        <v>Förderung</v>
      </c>
      <c r="D317" s="85"/>
      <c r="E317" s="85"/>
      <c r="F317" s="37"/>
      <c r="G317" s="86">
        <f>IF($A317&lt;=$I309,$A317, $I309)</f>
        <v>0</v>
      </c>
      <c r="H317" s="87"/>
      <c r="I317" s="47">
        <f>IF($N$5&gt;23,$I$37,0)</f>
        <v>0</v>
      </c>
    </row>
    <row r="318" spans="1:10" ht="15.75" thickBot="1" x14ac:dyDescent="0.3">
      <c r="A318" s="44"/>
      <c r="B318" s="44"/>
      <c r="C318" s="44"/>
      <c r="D318" s="44"/>
      <c r="E318" s="44"/>
      <c r="F318" s="44"/>
      <c r="G318" s="43"/>
      <c r="H318" s="44"/>
      <c r="I318" s="45"/>
    </row>
    <row r="319" spans="1:10" x14ac:dyDescent="0.25">
      <c r="A319" s="22" t="str">
        <f>J319&amp;". Monat"</f>
        <v>24. Monat</v>
      </c>
      <c r="B319" s="22"/>
      <c r="C319" s="22"/>
      <c r="D319" s="22"/>
      <c r="E319" s="22"/>
      <c r="F319" s="22"/>
      <c r="G319" s="22"/>
      <c r="H319" s="22"/>
      <c r="I319" s="23"/>
      <c r="J319">
        <v>24</v>
      </c>
    </row>
    <row r="320" spans="1:10" x14ac:dyDescent="0.25">
      <c r="A320" s="24"/>
      <c r="B320" s="24"/>
      <c r="C320" s="25" t="s">
        <v>205</v>
      </c>
      <c r="D320" s="11"/>
      <c r="E320" s="66">
        <f>(DATE(YEAR($E306),MONTH($E306)+1,1))</f>
        <v>701</v>
      </c>
      <c r="F320" s="14" t="s">
        <v>6</v>
      </c>
      <c r="G320" s="66">
        <f>EOMONTH($E320,0)</f>
        <v>731</v>
      </c>
      <c r="H320" s="24"/>
      <c r="I320" s="26"/>
    </row>
    <row r="321" spans="1:10" x14ac:dyDescent="0.25">
      <c r="A321" s="24"/>
      <c r="B321" s="24"/>
      <c r="C321" s="24"/>
      <c r="D321" s="24"/>
      <c r="E321" s="24"/>
      <c r="F321" s="24"/>
      <c r="G321" s="24"/>
      <c r="H321" s="24"/>
      <c r="I321" s="26"/>
    </row>
    <row r="322" spans="1:10" ht="45" x14ac:dyDescent="0.25">
      <c r="A322" s="27" t="s">
        <v>227</v>
      </c>
      <c r="B322" s="28" t="s">
        <v>197</v>
      </c>
      <c r="C322" s="27" t="s">
        <v>199</v>
      </c>
      <c r="D322" s="28" t="s">
        <v>198</v>
      </c>
      <c r="E322" s="27" t="s">
        <v>202</v>
      </c>
      <c r="F322" s="27" t="s">
        <v>200</v>
      </c>
      <c r="G322" s="28" t="s">
        <v>191</v>
      </c>
      <c r="H322" s="29"/>
      <c r="I322" s="30" t="s">
        <v>192</v>
      </c>
    </row>
    <row r="323" spans="1:10" ht="15.75" thickBot="1" x14ac:dyDescent="0.3">
      <c r="A323" s="10"/>
      <c r="B323" s="31"/>
      <c r="C323" s="14">
        <v>30</v>
      </c>
      <c r="D323" s="11"/>
      <c r="E323" s="14">
        <v>30</v>
      </c>
      <c r="F323" s="11"/>
      <c r="G323" s="32">
        <f>$A323</f>
        <v>0</v>
      </c>
      <c r="H323" s="31"/>
      <c r="I323" s="46">
        <f>IF($P$13=0,0,IF($N$5&gt;=12,$P$13,0))</f>
        <v>0</v>
      </c>
    </row>
    <row r="324" spans="1:10" x14ac:dyDescent="0.25">
      <c r="A324" s="24"/>
      <c r="B324" s="24"/>
      <c r="C324" s="24"/>
      <c r="D324" s="24"/>
      <c r="E324" s="24"/>
      <c r="F324" s="24"/>
      <c r="G324" s="24"/>
      <c r="H324" s="24"/>
      <c r="I324" s="26"/>
    </row>
    <row r="325" spans="1:10" x14ac:dyDescent="0.25">
      <c r="A325" s="31">
        <f>$G323</f>
        <v>0</v>
      </c>
      <c r="B325" s="33"/>
      <c r="C325" s="24" t="s">
        <v>193</v>
      </c>
      <c r="D325" s="24"/>
      <c r="E325" s="24"/>
      <c r="F325" s="24"/>
      <c r="G325" s="24"/>
      <c r="H325" s="24"/>
      <c r="I325" s="26"/>
    </row>
    <row r="326" spans="1:10" x14ac:dyDescent="0.25">
      <c r="A326" s="34">
        <f>A325*20/100</f>
        <v>0</v>
      </c>
      <c r="B326" s="35"/>
      <c r="C326" s="36" t="s">
        <v>194</v>
      </c>
      <c r="D326" s="36"/>
      <c r="E326" s="36"/>
      <c r="F326" s="24"/>
      <c r="G326" s="24"/>
      <c r="H326" s="24"/>
      <c r="I326" s="26"/>
    </row>
    <row r="327" spans="1:10" x14ac:dyDescent="0.25">
      <c r="A327" s="37">
        <f>A325+A326</f>
        <v>0</v>
      </c>
      <c r="B327" s="37"/>
      <c r="C327" s="38"/>
      <c r="D327" s="38"/>
      <c r="E327" s="24"/>
      <c r="F327" s="24"/>
      <c r="G327" s="24"/>
      <c r="H327" s="24"/>
      <c r="I327" s="26"/>
    </row>
    <row r="328" spans="1:10" ht="15.75" thickBot="1" x14ac:dyDescent="0.3">
      <c r="A328" s="40" t="str">
        <f>IF($N$3 =0,"erfassen",$N$3)</f>
        <v>erfassen</v>
      </c>
      <c r="B328" s="36"/>
      <c r="C328" s="36" t="s">
        <v>212</v>
      </c>
      <c r="D328" s="36"/>
      <c r="E328" s="36"/>
      <c r="F328" s="24"/>
      <c r="G328" s="24"/>
      <c r="H328" s="24"/>
      <c r="I328" s="26"/>
    </row>
    <row r="329" spans="1:10" x14ac:dyDescent="0.25">
      <c r="A329" s="80">
        <f>IF(OR($A327=0,$N$3=0),,$N$3*$A327/100)</f>
        <v>0</v>
      </c>
      <c r="B329" s="24"/>
      <c r="C329" s="24"/>
      <c r="D329" s="24"/>
      <c r="E329" s="24"/>
      <c r="F329" s="24"/>
      <c r="G329" s="90" t="s">
        <v>211</v>
      </c>
      <c r="H329" s="91"/>
      <c r="I329" s="39" t="s">
        <v>195</v>
      </c>
    </row>
    <row r="330" spans="1:10" x14ac:dyDescent="0.25">
      <c r="A330" s="80" t="str">
        <f>IF(AND($P$11 &lt;&gt;"",$P$11&lt;=$J319),IF(OR($A325=0,$N$3=0),0,$A329-20*$A329/100),IF(AND($P$9 &lt;&gt;"",$P$9&lt;=$J319),IF(OR($A325=0,$N$3=0),0,$A329-10*$A329/100),""))</f>
        <v/>
      </c>
      <c r="B330" s="24"/>
      <c r="C330" s="11" t="str">
        <f>IF(AND($P$11 &lt;&gt;"",$P$11&lt;=$J319),$N$11&amp;" Degression",IF(AND($P$9 &lt;&gt;"",$P$9&lt;=$J319),$N$9&amp;" Degression",""))</f>
        <v/>
      </c>
      <c r="D330" s="24"/>
      <c r="E330" s="24"/>
      <c r="F330" s="24"/>
      <c r="G330" s="88" t="s">
        <v>210</v>
      </c>
      <c r="H330" s="89"/>
      <c r="I330" s="41" t="str">
        <f>J319&amp;". Rate ausgezahlt"</f>
        <v>24. Rate ausgezahlt</v>
      </c>
    </row>
    <row r="331" spans="1:10" x14ac:dyDescent="0.25">
      <c r="A331" s="81">
        <f>IF(OR($A325=0,$N$3=0),,IF($A330="",$A329,$A330))</f>
        <v>0</v>
      </c>
      <c r="B331" s="81"/>
      <c r="C331" s="85" t="str">
        <f>IF($A331&lt;=$I323,"Förderung","Förderung, jedoch höchstens lt. Bescheid "&amp; $I323&amp;"€")</f>
        <v>Förderung</v>
      </c>
      <c r="D331" s="85"/>
      <c r="E331" s="85"/>
      <c r="F331" s="37"/>
      <c r="G331" s="86">
        <f>IF($A331&lt;=$I323,$A331, $I323)</f>
        <v>0</v>
      </c>
      <c r="H331" s="87"/>
      <c r="I331" s="47">
        <f>IF($N$5&gt;24,$I$37,0)</f>
        <v>0</v>
      </c>
    </row>
    <row r="332" spans="1:10" ht="15.75" thickBot="1" x14ac:dyDescent="0.3">
      <c r="A332" s="44"/>
      <c r="B332" s="44"/>
      <c r="C332" s="44"/>
      <c r="D332" s="44"/>
      <c r="E332" s="44"/>
      <c r="F332" s="44"/>
      <c r="G332" s="43"/>
      <c r="H332" s="44"/>
      <c r="I332" s="45"/>
    </row>
    <row r="333" spans="1:10" x14ac:dyDescent="0.25">
      <c r="A333" s="22" t="str">
        <f>J333&amp;". Monat"</f>
        <v>25. Monat</v>
      </c>
      <c r="B333" s="22"/>
      <c r="C333" s="22"/>
      <c r="D333" s="22"/>
      <c r="E333" s="22"/>
      <c r="F333" s="22"/>
      <c r="G333" s="22"/>
      <c r="H333" s="22"/>
      <c r="I333" s="23"/>
      <c r="J333">
        <v>25</v>
      </c>
    </row>
    <row r="334" spans="1:10" x14ac:dyDescent="0.25">
      <c r="A334" s="24"/>
      <c r="B334" s="24"/>
      <c r="C334" s="25" t="s">
        <v>205</v>
      </c>
      <c r="D334" s="11"/>
      <c r="E334" s="66">
        <f>(DATE(YEAR($E320),MONTH($E320)+1,1))</f>
        <v>732</v>
      </c>
      <c r="F334" s="14" t="s">
        <v>6</v>
      </c>
      <c r="G334" s="66">
        <f>EOMONTH($E334,0)</f>
        <v>762</v>
      </c>
      <c r="H334" s="24"/>
      <c r="I334" s="26"/>
    </row>
    <row r="335" spans="1:10" x14ac:dyDescent="0.25">
      <c r="A335" s="24"/>
      <c r="B335" s="24"/>
      <c r="C335" s="24"/>
      <c r="D335" s="24"/>
      <c r="E335" s="24"/>
      <c r="F335" s="24"/>
      <c r="G335" s="24"/>
      <c r="H335" s="24"/>
      <c r="I335" s="26"/>
    </row>
    <row r="336" spans="1:10" ht="45" x14ac:dyDescent="0.25">
      <c r="A336" s="27" t="s">
        <v>227</v>
      </c>
      <c r="B336" s="28" t="s">
        <v>197</v>
      </c>
      <c r="C336" s="27" t="s">
        <v>199</v>
      </c>
      <c r="D336" s="28" t="s">
        <v>198</v>
      </c>
      <c r="E336" s="27" t="s">
        <v>202</v>
      </c>
      <c r="F336" s="27" t="s">
        <v>200</v>
      </c>
      <c r="G336" s="28" t="s">
        <v>191</v>
      </c>
      <c r="H336" s="29"/>
      <c r="I336" s="30" t="s">
        <v>192</v>
      </c>
    </row>
    <row r="337" spans="1:10" ht="15.75" thickBot="1" x14ac:dyDescent="0.3">
      <c r="A337" s="10"/>
      <c r="B337" s="31"/>
      <c r="C337" s="14">
        <v>30</v>
      </c>
      <c r="D337" s="11"/>
      <c r="E337" s="14">
        <v>30</v>
      </c>
      <c r="F337" s="11"/>
      <c r="G337" s="32">
        <f>$A337</f>
        <v>0</v>
      </c>
      <c r="H337" s="31"/>
      <c r="I337" s="46">
        <f>IF($P$13=0,0,IF($N$5&gt;=12,$P$13,0))</f>
        <v>0</v>
      </c>
    </row>
    <row r="338" spans="1:10" x14ac:dyDescent="0.25">
      <c r="A338" s="24"/>
      <c r="B338" s="24"/>
      <c r="C338" s="24"/>
      <c r="D338" s="24"/>
      <c r="E338" s="24"/>
      <c r="F338" s="24"/>
      <c r="G338" s="24"/>
      <c r="H338" s="24"/>
      <c r="I338" s="26"/>
    </row>
    <row r="339" spans="1:10" x14ac:dyDescent="0.25">
      <c r="A339" s="31">
        <f>$G337</f>
        <v>0</v>
      </c>
      <c r="B339" s="33"/>
      <c r="C339" s="24" t="s">
        <v>193</v>
      </c>
      <c r="D339" s="24"/>
      <c r="E339" s="24"/>
      <c r="F339" s="24"/>
      <c r="G339" s="24"/>
      <c r="H339" s="24"/>
      <c r="I339" s="26"/>
    </row>
    <row r="340" spans="1:10" x14ac:dyDescent="0.25">
      <c r="A340" s="34">
        <f>A339*20/100</f>
        <v>0</v>
      </c>
      <c r="B340" s="35"/>
      <c r="C340" s="36" t="s">
        <v>194</v>
      </c>
      <c r="D340" s="36"/>
      <c r="E340" s="36"/>
      <c r="F340" s="24"/>
      <c r="G340" s="24"/>
      <c r="H340" s="24"/>
      <c r="I340" s="26"/>
    </row>
    <row r="341" spans="1:10" x14ac:dyDescent="0.25">
      <c r="A341" s="37">
        <f>A339+A340</f>
        <v>0</v>
      </c>
      <c r="B341" s="37"/>
      <c r="C341" s="38"/>
      <c r="D341" s="38"/>
      <c r="E341" s="24"/>
      <c r="F341" s="24"/>
      <c r="G341" s="24"/>
      <c r="H341" s="24"/>
      <c r="I341" s="26"/>
    </row>
    <row r="342" spans="1:10" ht="15.75" thickBot="1" x14ac:dyDescent="0.3">
      <c r="A342" s="40" t="str">
        <f>IF($N$3 =0,"erfassen",$N$3)</f>
        <v>erfassen</v>
      </c>
      <c r="B342" s="36"/>
      <c r="C342" s="36" t="s">
        <v>212</v>
      </c>
      <c r="D342" s="36"/>
      <c r="E342" s="36"/>
      <c r="F342" s="24"/>
      <c r="G342" s="24"/>
      <c r="H342" s="24"/>
      <c r="I342" s="26"/>
    </row>
    <row r="343" spans="1:10" x14ac:dyDescent="0.25">
      <c r="A343" s="80">
        <f>IF(OR($A341=0,$N$3=0),,$N$3*$A341/100)</f>
        <v>0</v>
      </c>
      <c r="B343" s="24"/>
      <c r="C343" s="24"/>
      <c r="D343" s="24"/>
      <c r="E343" s="24"/>
      <c r="F343" s="24"/>
      <c r="G343" s="90" t="s">
        <v>211</v>
      </c>
      <c r="H343" s="91"/>
      <c r="I343" s="39" t="s">
        <v>195</v>
      </c>
    </row>
    <row r="344" spans="1:10" x14ac:dyDescent="0.25">
      <c r="A344" s="80" t="str">
        <f>IF(AND($P$11 &lt;&gt;"",$P$11&lt;=$J333),IF(OR($A339=0,$N$3=0),0,$A343-20*$A343/100),IF(AND($P$9 &lt;&gt;"",$P$9&lt;=$J333),IF(OR($A339=0,$N$3=0),0,$A343-10*$A343/100),""))</f>
        <v/>
      </c>
      <c r="B344" s="24"/>
      <c r="C344" s="11" t="str">
        <f>IF(AND($P$11 &lt;&gt;"",$P$11&lt;=$J333),$N$11&amp;" Degression",IF(AND($P$9 &lt;&gt;"",$P$9&lt;=$J333),$N$9&amp;" Degression",""))</f>
        <v/>
      </c>
      <c r="D344" s="24"/>
      <c r="E344" s="24"/>
      <c r="F344" s="24"/>
      <c r="G344" s="88" t="s">
        <v>210</v>
      </c>
      <c r="H344" s="89"/>
      <c r="I344" s="41" t="str">
        <f>J333&amp;". Rate ausgezahlt"</f>
        <v>25. Rate ausgezahlt</v>
      </c>
    </row>
    <row r="345" spans="1:10" x14ac:dyDescent="0.25">
      <c r="A345" s="81">
        <f>IF(OR($A339=0,$N$3=0),,IF($A344="",$A343,$A344))</f>
        <v>0</v>
      </c>
      <c r="B345" s="81"/>
      <c r="C345" s="85" t="str">
        <f>IF($A345&lt;=$I337,"Förderung","Förderung, jedoch höchstens lt. Bescheid "&amp; $I337&amp;"€")</f>
        <v>Förderung</v>
      </c>
      <c r="D345" s="85"/>
      <c r="E345" s="85"/>
      <c r="F345" s="37"/>
      <c r="G345" s="86">
        <f>IF($A345&lt;=$I337,$A345, $I337)</f>
        <v>0</v>
      </c>
      <c r="H345" s="87"/>
      <c r="I345" s="47">
        <f>IF($N$5&gt;25,$I$37,0)</f>
        <v>0</v>
      </c>
    </row>
    <row r="346" spans="1:10" ht="15.75" thickBot="1" x14ac:dyDescent="0.3">
      <c r="A346" s="44"/>
      <c r="B346" s="44"/>
      <c r="C346" s="44"/>
      <c r="D346" s="44"/>
      <c r="E346" s="44"/>
      <c r="F346" s="44"/>
      <c r="G346" s="43"/>
      <c r="H346" s="44"/>
      <c r="I346" s="45"/>
    </row>
    <row r="347" spans="1:10" x14ac:dyDescent="0.25">
      <c r="A347" s="22" t="str">
        <f>J347&amp;". Monat"</f>
        <v>26. Monat</v>
      </c>
      <c r="B347" s="22"/>
      <c r="C347" s="22"/>
      <c r="D347" s="22"/>
      <c r="E347" s="22"/>
      <c r="F347" s="22"/>
      <c r="G347" s="22"/>
      <c r="H347" s="22"/>
      <c r="I347" s="23"/>
      <c r="J347">
        <v>26</v>
      </c>
    </row>
    <row r="348" spans="1:10" x14ac:dyDescent="0.25">
      <c r="A348" s="24"/>
      <c r="B348" s="24"/>
      <c r="C348" s="25" t="s">
        <v>205</v>
      </c>
      <c r="D348" s="11"/>
      <c r="E348" s="66">
        <f>(DATE(YEAR($E334),MONTH($E334)+1,1))</f>
        <v>763</v>
      </c>
      <c r="F348" s="14" t="s">
        <v>6</v>
      </c>
      <c r="G348" s="66">
        <f>EOMONTH($E348,0)</f>
        <v>790</v>
      </c>
      <c r="H348" s="24"/>
      <c r="I348" s="26"/>
    </row>
    <row r="349" spans="1:10" x14ac:dyDescent="0.25">
      <c r="A349" s="24"/>
      <c r="B349" s="24"/>
      <c r="C349" s="24"/>
      <c r="D349" s="24"/>
      <c r="E349" s="24"/>
      <c r="F349" s="24"/>
      <c r="G349" s="24"/>
      <c r="H349" s="24"/>
      <c r="I349" s="26"/>
    </row>
    <row r="350" spans="1:10" ht="45" x14ac:dyDescent="0.25">
      <c r="A350" s="27" t="s">
        <v>227</v>
      </c>
      <c r="B350" s="28" t="s">
        <v>197</v>
      </c>
      <c r="C350" s="27" t="s">
        <v>199</v>
      </c>
      <c r="D350" s="28" t="s">
        <v>198</v>
      </c>
      <c r="E350" s="27" t="s">
        <v>202</v>
      </c>
      <c r="F350" s="27" t="s">
        <v>200</v>
      </c>
      <c r="G350" s="28" t="s">
        <v>191</v>
      </c>
      <c r="H350" s="29"/>
      <c r="I350" s="30" t="s">
        <v>192</v>
      </c>
    </row>
    <row r="351" spans="1:10" ht="15.75" thickBot="1" x14ac:dyDescent="0.3">
      <c r="A351" s="10"/>
      <c r="B351" s="31"/>
      <c r="C351" s="14">
        <v>30</v>
      </c>
      <c r="D351" s="11"/>
      <c r="E351" s="14">
        <v>30</v>
      </c>
      <c r="F351" s="11"/>
      <c r="G351" s="32">
        <f>$A351</f>
        <v>0</v>
      </c>
      <c r="H351" s="31"/>
      <c r="I351" s="46">
        <f>IF($P$13=0,0,IF($N$5&gt;=12,$P$13,0))</f>
        <v>0</v>
      </c>
    </row>
    <row r="352" spans="1:10" x14ac:dyDescent="0.25">
      <c r="A352" s="24"/>
      <c r="B352" s="24"/>
      <c r="C352" s="24"/>
      <c r="D352" s="24"/>
      <c r="E352" s="24"/>
      <c r="F352" s="24"/>
      <c r="G352" s="24"/>
      <c r="H352" s="24"/>
      <c r="I352" s="26"/>
    </row>
    <row r="353" spans="1:10" x14ac:dyDescent="0.25">
      <c r="A353" s="31">
        <f>$G351</f>
        <v>0</v>
      </c>
      <c r="B353" s="33"/>
      <c r="C353" s="24" t="s">
        <v>193</v>
      </c>
      <c r="D353" s="24"/>
      <c r="E353" s="24"/>
      <c r="F353" s="24"/>
      <c r="G353" s="24"/>
      <c r="H353" s="24"/>
      <c r="I353" s="26"/>
    </row>
    <row r="354" spans="1:10" x14ac:dyDescent="0.25">
      <c r="A354" s="34">
        <f>A353*20/100</f>
        <v>0</v>
      </c>
      <c r="B354" s="35"/>
      <c r="C354" s="36" t="s">
        <v>194</v>
      </c>
      <c r="D354" s="36"/>
      <c r="E354" s="36"/>
      <c r="F354" s="24"/>
      <c r="G354" s="24"/>
      <c r="H354" s="24"/>
      <c r="I354" s="26"/>
    </row>
    <row r="355" spans="1:10" x14ac:dyDescent="0.25">
      <c r="A355" s="37">
        <f>A353+A354</f>
        <v>0</v>
      </c>
      <c r="B355" s="37"/>
      <c r="C355" s="38"/>
      <c r="D355" s="38"/>
      <c r="E355" s="24"/>
      <c r="F355" s="24"/>
      <c r="G355" s="24"/>
      <c r="H355" s="24"/>
      <c r="I355" s="26"/>
    </row>
    <row r="356" spans="1:10" ht="15.75" thickBot="1" x14ac:dyDescent="0.3">
      <c r="A356" s="40" t="str">
        <f>IF($N$3 =0,"erfassen",$N$3)</f>
        <v>erfassen</v>
      </c>
      <c r="B356" s="36"/>
      <c r="C356" s="36" t="s">
        <v>212</v>
      </c>
      <c r="D356" s="36"/>
      <c r="E356" s="36"/>
      <c r="F356" s="24"/>
      <c r="G356" s="24"/>
      <c r="H356" s="24"/>
      <c r="I356" s="26"/>
    </row>
    <row r="357" spans="1:10" x14ac:dyDescent="0.25">
      <c r="A357" s="80">
        <f>IF(OR($A355=0,$N$3=0),,$N$3*$A355/100)</f>
        <v>0</v>
      </c>
      <c r="B357" s="24"/>
      <c r="C357" s="24"/>
      <c r="D357" s="24"/>
      <c r="E357" s="24"/>
      <c r="F357" s="24"/>
      <c r="G357" s="90" t="s">
        <v>211</v>
      </c>
      <c r="H357" s="91"/>
      <c r="I357" s="39" t="s">
        <v>195</v>
      </c>
    </row>
    <row r="358" spans="1:10" x14ac:dyDescent="0.25">
      <c r="A358" s="80" t="str">
        <f>IF(AND($P$11 &lt;&gt;"",$P$11&lt;=$J347),IF(OR($A353=0,$N$3=0),0,$A357-20*$A357/100),IF(AND($P$9 &lt;&gt;"",$P$9&lt;=$J347),IF(OR($A353=0,$N$3=0),0,$A357-10*$A357/100),""))</f>
        <v/>
      </c>
      <c r="B358" s="24"/>
      <c r="C358" s="11" t="str">
        <f>IF(AND($P$11 &lt;&gt;"",$P$11&lt;=$J347),$N$11&amp;" Degression",IF(AND($P$9 &lt;&gt;"",$P$9&lt;=$J347),$N$9&amp;" Degression",""))</f>
        <v/>
      </c>
      <c r="D358" s="24"/>
      <c r="E358" s="24"/>
      <c r="F358" s="24"/>
      <c r="G358" s="88" t="s">
        <v>210</v>
      </c>
      <c r="H358" s="89"/>
      <c r="I358" s="41" t="str">
        <f>J347&amp;". Rate ausgezahlt"</f>
        <v>26. Rate ausgezahlt</v>
      </c>
    </row>
    <row r="359" spans="1:10" x14ac:dyDescent="0.25">
      <c r="A359" s="81">
        <f>IF(OR($A353=0,$N$3=0),,IF($A358="",$A357,$A358))</f>
        <v>0</v>
      </c>
      <c r="B359" s="81"/>
      <c r="C359" s="85" t="str">
        <f>IF($A359&lt;=$I351,"Förderung","Förderung, jedoch höchstens lt. Bescheid "&amp; $I351&amp;"€")</f>
        <v>Förderung</v>
      </c>
      <c r="D359" s="85"/>
      <c r="E359" s="85"/>
      <c r="F359" s="37"/>
      <c r="G359" s="86">
        <f>IF($A359&lt;=$I351,$A359, $I351)</f>
        <v>0</v>
      </c>
      <c r="H359" s="87"/>
      <c r="I359" s="47">
        <f>IF($N$5&gt;26,$I$37,0)</f>
        <v>0</v>
      </c>
    </row>
    <row r="360" spans="1:10" ht="15.75" thickBot="1" x14ac:dyDescent="0.3">
      <c r="A360" s="44"/>
      <c r="B360" s="44"/>
      <c r="C360" s="44"/>
      <c r="D360" s="44"/>
      <c r="E360" s="44"/>
      <c r="F360" s="44"/>
      <c r="G360" s="43"/>
      <c r="H360" s="44"/>
      <c r="I360" s="45"/>
    </row>
    <row r="361" spans="1:10" x14ac:dyDescent="0.25">
      <c r="A361" s="22" t="str">
        <f>J361&amp;". Monat"</f>
        <v>27. Monat</v>
      </c>
      <c r="B361" s="22"/>
      <c r="C361" s="22"/>
      <c r="D361" s="22"/>
      <c r="E361" s="22"/>
      <c r="F361" s="22"/>
      <c r="G361" s="22"/>
      <c r="H361" s="22"/>
      <c r="I361" s="23"/>
      <c r="J361">
        <v>27</v>
      </c>
    </row>
    <row r="362" spans="1:10" x14ac:dyDescent="0.25">
      <c r="A362" s="24"/>
      <c r="B362" s="24"/>
      <c r="C362" s="25" t="s">
        <v>205</v>
      </c>
      <c r="D362" s="11"/>
      <c r="E362" s="66">
        <f>(DATE(YEAR($E348),MONTH($E348)+1,1))</f>
        <v>791</v>
      </c>
      <c r="F362" s="14" t="s">
        <v>6</v>
      </c>
      <c r="G362" s="66">
        <f>EOMONTH($E362,0)</f>
        <v>821</v>
      </c>
      <c r="H362" s="24"/>
      <c r="I362" s="26"/>
    </row>
    <row r="363" spans="1:10" x14ac:dyDescent="0.25">
      <c r="A363" s="24"/>
      <c r="B363" s="24"/>
      <c r="C363" s="24"/>
      <c r="D363" s="24"/>
      <c r="E363" s="24"/>
      <c r="F363" s="24"/>
      <c r="G363" s="24"/>
      <c r="H363" s="24"/>
      <c r="I363" s="26"/>
    </row>
    <row r="364" spans="1:10" ht="45" x14ac:dyDescent="0.25">
      <c r="A364" s="27" t="s">
        <v>227</v>
      </c>
      <c r="B364" s="28" t="s">
        <v>197</v>
      </c>
      <c r="C364" s="27" t="s">
        <v>199</v>
      </c>
      <c r="D364" s="28" t="s">
        <v>198</v>
      </c>
      <c r="E364" s="27" t="s">
        <v>202</v>
      </c>
      <c r="F364" s="27" t="s">
        <v>200</v>
      </c>
      <c r="G364" s="28" t="s">
        <v>191</v>
      </c>
      <c r="H364" s="29"/>
      <c r="I364" s="30" t="s">
        <v>192</v>
      </c>
    </row>
    <row r="365" spans="1:10" ht="15.75" thickBot="1" x14ac:dyDescent="0.3">
      <c r="A365" s="10"/>
      <c r="B365" s="31"/>
      <c r="C365" s="14">
        <v>30</v>
      </c>
      <c r="D365" s="11"/>
      <c r="E365" s="14">
        <v>30</v>
      </c>
      <c r="F365" s="11"/>
      <c r="G365" s="32">
        <f>$A365</f>
        <v>0</v>
      </c>
      <c r="H365" s="31"/>
      <c r="I365" s="46">
        <f>IF($P$13=0,0,IF($N$5&gt;=12,$P$13,0))</f>
        <v>0</v>
      </c>
    </row>
    <row r="366" spans="1:10" x14ac:dyDescent="0.25">
      <c r="A366" s="24"/>
      <c r="B366" s="24"/>
      <c r="C366" s="24"/>
      <c r="D366" s="24"/>
      <c r="E366" s="24"/>
      <c r="F366" s="24"/>
      <c r="G366" s="24"/>
      <c r="H366" s="24"/>
      <c r="I366" s="26"/>
    </row>
    <row r="367" spans="1:10" x14ac:dyDescent="0.25">
      <c r="A367" s="31">
        <f>$G365</f>
        <v>0</v>
      </c>
      <c r="B367" s="33"/>
      <c r="C367" s="24" t="s">
        <v>193</v>
      </c>
      <c r="D367" s="24"/>
      <c r="E367" s="24"/>
      <c r="F367" s="24"/>
      <c r="G367" s="24"/>
      <c r="H367" s="24"/>
      <c r="I367" s="26"/>
    </row>
    <row r="368" spans="1:10" x14ac:dyDescent="0.25">
      <c r="A368" s="34">
        <f>A367*20/100</f>
        <v>0</v>
      </c>
      <c r="B368" s="35"/>
      <c r="C368" s="36" t="s">
        <v>194</v>
      </c>
      <c r="D368" s="36"/>
      <c r="E368" s="36"/>
      <c r="F368" s="24"/>
      <c r="G368" s="24"/>
      <c r="H368" s="24"/>
      <c r="I368" s="26"/>
    </row>
    <row r="369" spans="1:10" x14ac:dyDescent="0.25">
      <c r="A369" s="37">
        <f>A367+A368</f>
        <v>0</v>
      </c>
      <c r="B369" s="37"/>
      <c r="C369" s="38"/>
      <c r="D369" s="38"/>
      <c r="E369" s="24"/>
      <c r="F369" s="24"/>
      <c r="G369" s="24"/>
      <c r="H369" s="24"/>
      <c r="I369" s="26"/>
    </row>
    <row r="370" spans="1:10" ht="15.75" thickBot="1" x14ac:dyDescent="0.3">
      <c r="A370" s="40" t="str">
        <f>IF($N$3 =0,"erfassen",$N$3)</f>
        <v>erfassen</v>
      </c>
      <c r="B370" s="36"/>
      <c r="C370" s="36" t="s">
        <v>212</v>
      </c>
      <c r="D370" s="36"/>
      <c r="E370" s="36"/>
      <c r="F370" s="24"/>
      <c r="G370" s="24"/>
      <c r="H370" s="24"/>
      <c r="I370" s="26"/>
    </row>
    <row r="371" spans="1:10" x14ac:dyDescent="0.25">
      <c r="A371" s="80">
        <f>IF(OR($A369=0,$N$3=0),,$N$3*$A369/100)</f>
        <v>0</v>
      </c>
      <c r="B371" s="24"/>
      <c r="C371" s="24"/>
      <c r="D371" s="24"/>
      <c r="E371" s="24"/>
      <c r="F371" s="24"/>
      <c r="G371" s="90" t="s">
        <v>211</v>
      </c>
      <c r="H371" s="91"/>
      <c r="I371" s="39" t="s">
        <v>195</v>
      </c>
    </row>
    <row r="372" spans="1:10" x14ac:dyDescent="0.25">
      <c r="A372" s="80" t="str">
        <f>IF(AND($P$11 &lt;&gt;"",$P$11&lt;=$J361),IF(OR($A367=0,$N$3=0),0,$A371-20*$A371/100),IF(AND($P$9 &lt;&gt;"",$P$9&lt;=$J361),IF(OR($A367=0,$N$3=0),0,$A371-10*$A371/100),""))</f>
        <v/>
      </c>
      <c r="B372" s="24"/>
      <c r="C372" s="11" t="str">
        <f>IF(AND($P$11 &lt;&gt;"",$P$11&lt;=$J361),$N$11&amp;" Degression",IF(AND($P$9 &lt;&gt;"",$P$9&lt;=$J361),$N$9&amp;" Degression",""))</f>
        <v/>
      </c>
      <c r="D372" s="24"/>
      <c r="E372" s="24"/>
      <c r="F372" s="24"/>
      <c r="G372" s="88" t="s">
        <v>210</v>
      </c>
      <c r="H372" s="89"/>
      <c r="I372" s="41" t="str">
        <f>J361&amp;". Rate ausgezahlt"</f>
        <v>27. Rate ausgezahlt</v>
      </c>
    </row>
    <row r="373" spans="1:10" x14ac:dyDescent="0.25">
      <c r="A373" s="81">
        <f>IF(OR($A367=0,$N$3=0),,IF($A372="",$A371,$A372))</f>
        <v>0</v>
      </c>
      <c r="B373" s="81"/>
      <c r="C373" s="85" t="str">
        <f>IF($A373&lt;=$I365,"Förderung","Förderung, jedoch höchstens lt. Bescheid "&amp; $I365&amp;"€")</f>
        <v>Förderung</v>
      </c>
      <c r="D373" s="85"/>
      <c r="E373" s="85"/>
      <c r="F373" s="37"/>
      <c r="G373" s="86">
        <f>IF($A373&lt;=$I365,$A373, $I365)</f>
        <v>0</v>
      </c>
      <c r="H373" s="87"/>
      <c r="I373" s="47">
        <f>IF($N$5&gt;27,$I$37,0)</f>
        <v>0</v>
      </c>
    </row>
    <row r="374" spans="1:10" ht="15.75" thickBot="1" x14ac:dyDescent="0.3">
      <c r="A374" s="44"/>
      <c r="B374" s="44"/>
      <c r="C374" s="44"/>
      <c r="D374" s="44"/>
      <c r="E374" s="44"/>
      <c r="F374" s="44"/>
      <c r="G374" s="43"/>
      <c r="H374" s="44"/>
      <c r="I374" s="45"/>
    </row>
    <row r="375" spans="1:10" x14ac:dyDescent="0.25">
      <c r="A375" s="22" t="str">
        <f>J375&amp;". Monat"</f>
        <v>28. Monat</v>
      </c>
      <c r="B375" s="22"/>
      <c r="C375" s="22"/>
      <c r="D375" s="22"/>
      <c r="E375" s="22"/>
      <c r="F375" s="22"/>
      <c r="G375" s="22"/>
      <c r="H375" s="22"/>
      <c r="I375" s="23"/>
      <c r="J375">
        <v>28</v>
      </c>
    </row>
    <row r="376" spans="1:10" x14ac:dyDescent="0.25">
      <c r="A376" s="24"/>
      <c r="B376" s="24"/>
      <c r="C376" s="25" t="s">
        <v>205</v>
      </c>
      <c r="D376" s="11"/>
      <c r="E376" s="66">
        <f>(DATE(YEAR($E362),MONTH($E362)+1,1))</f>
        <v>822</v>
      </c>
      <c r="F376" s="14" t="s">
        <v>6</v>
      </c>
      <c r="G376" s="66">
        <f>EOMONTH($E376,0)</f>
        <v>851</v>
      </c>
      <c r="H376" s="24"/>
      <c r="I376" s="26"/>
    </row>
    <row r="377" spans="1:10" x14ac:dyDescent="0.25">
      <c r="A377" s="24"/>
      <c r="B377" s="24"/>
      <c r="C377" s="24"/>
      <c r="D377" s="24"/>
      <c r="E377" s="24"/>
      <c r="F377" s="24"/>
      <c r="G377" s="24"/>
      <c r="H377" s="24"/>
      <c r="I377" s="26"/>
    </row>
    <row r="378" spans="1:10" ht="45" x14ac:dyDescent="0.25">
      <c r="A378" s="27" t="s">
        <v>227</v>
      </c>
      <c r="B378" s="28" t="s">
        <v>197</v>
      </c>
      <c r="C378" s="27" t="s">
        <v>199</v>
      </c>
      <c r="D378" s="28" t="s">
        <v>198</v>
      </c>
      <c r="E378" s="27" t="s">
        <v>202</v>
      </c>
      <c r="F378" s="27" t="s">
        <v>200</v>
      </c>
      <c r="G378" s="28" t="s">
        <v>191</v>
      </c>
      <c r="H378" s="29"/>
      <c r="I378" s="30" t="s">
        <v>192</v>
      </c>
    </row>
    <row r="379" spans="1:10" ht="15.75" thickBot="1" x14ac:dyDescent="0.3">
      <c r="A379" s="10"/>
      <c r="B379" s="31"/>
      <c r="C379" s="14">
        <v>30</v>
      </c>
      <c r="D379" s="11"/>
      <c r="E379" s="14">
        <v>30</v>
      </c>
      <c r="F379" s="11"/>
      <c r="G379" s="32">
        <f>$A379</f>
        <v>0</v>
      </c>
      <c r="H379" s="31"/>
      <c r="I379" s="46">
        <f>IF($P$13=0,0,IF($N$5&gt;=12,$P$13,0))</f>
        <v>0</v>
      </c>
    </row>
    <row r="380" spans="1:10" x14ac:dyDescent="0.25">
      <c r="A380" s="24"/>
      <c r="B380" s="24"/>
      <c r="C380" s="24"/>
      <c r="D380" s="24"/>
      <c r="E380" s="24"/>
      <c r="F380" s="24"/>
      <c r="G380" s="24"/>
      <c r="H380" s="24"/>
      <c r="I380" s="26"/>
    </row>
    <row r="381" spans="1:10" x14ac:dyDescent="0.25">
      <c r="A381" s="31">
        <f>$G379</f>
        <v>0</v>
      </c>
      <c r="B381" s="33"/>
      <c r="C381" s="24" t="s">
        <v>193</v>
      </c>
      <c r="D381" s="24"/>
      <c r="E381" s="24"/>
      <c r="F381" s="24"/>
      <c r="G381" s="24"/>
      <c r="H381" s="24"/>
      <c r="I381" s="26"/>
    </row>
    <row r="382" spans="1:10" x14ac:dyDescent="0.25">
      <c r="A382" s="34">
        <f>A381*20/100</f>
        <v>0</v>
      </c>
      <c r="B382" s="35"/>
      <c r="C382" s="36" t="s">
        <v>194</v>
      </c>
      <c r="D382" s="36"/>
      <c r="E382" s="36"/>
      <c r="F382" s="24"/>
      <c r="G382" s="24"/>
      <c r="H382" s="24"/>
      <c r="I382" s="26"/>
    </row>
    <row r="383" spans="1:10" x14ac:dyDescent="0.25">
      <c r="A383" s="37">
        <f>A381+A382</f>
        <v>0</v>
      </c>
      <c r="B383" s="37"/>
      <c r="C383" s="38"/>
      <c r="D383" s="38"/>
      <c r="E383" s="24"/>
      <c r="F383" s="24"/>
      <c r="G383" s="24"/>
      <c r="H383" s="24"/>
      <c r="I383" s="26"/>
    </row>
    <row r="384" spans="1:10" ht="15.75" thickBot="1" x14ac:dyDescent="0.3">
      <c r="A384" s="40" t="str">
        <f>IF($N$3 =0,"erfassen",$N$3)</f>
        <v>erfassen</v>
      </c>
      <c r="B384" s="36"/>
      <c r="C384" s="36" t="s">
        <v>212</v>
      </c>
      <c r="D384" s="36"/>
      <c r="E384" s="36"/>
      <c r="F384" s="24"/>
      <c r="G384" s="24"/>
      <c r="H384" s="24"/>
      <c r="I384" s="26"/>
    </row>
    <row r="385" spans="1:10" x14ac:dyDescent="0.25">
      <c r="A385" s="80">
        <f>IF(OR($A383=0,$N$3=0),,$N$3*$A383/100)</f>
        <v>0</v>
      </c>
      <c r="B385" s="24"/>
      <c r="C385" s="24"/>
      <c r="D385" s="24"/>
      <c r="E385" s="24"/>
      <c r="F385" s="24"/>
      <c r="G385" s="90" t="s">
        <v>211</v>
      </c>
      <c r="H385" s="91"/>
      <c r="I385" s="39" t="s">
        <v>195</v>
      </c>
    </row>
    <row r="386" spans="1:10" x14ac:dyDescent="0.25">
      <c r="A386" s="80" t="str">
        <f>IF(AND($P$11 &lt;&gt;"",$P$11&lt;=$J375),IF(OR($A381=0,$N$3=0),0,$A385-20*$A385/100),IF(AND($P$9 &lt;&gt;"",$P$9&lt;=$J375),IF(OR($A381=0,$N$3=0),0,$A385-10*$A385/100),""))</f>
        <v/>
      </c>
      <c r="B386" s="24"/>
      <c r="C386" s="11" t="str">
        <f>IF(AND($P$11 &lt;&gt;"",$P$11&lt;=$J375),$N$11&amp;" Degression",IF(AND($P$9 &lt;&gt;"",$P$9&lt;=$J375),$N$9&amp;" Degression",""))</f>
        <v/>
      </c>
      <c r="D386" s="24"/>
      <c r="E386" s="24"/>
      <c r="F386" s="24"/>
      <c r="G386" s="88" t="s">
        <v>210</v>
      </c>
      <c r="H386" s="89"/>
      <c r="I386" s="41" t="str">
        <f>J375&amp;". Rate ausgezahlt"</f>
        <v>28. Rate ausgezahlt</v>
      </c>
    </row>
    <row r="387" spans="1:10" x14ac:dyDescent="0.25">
      <c r="A387" s="81">
        <f>IF(OR($A381=0,$N$3=0),,IF($A386="",$A385,$A386))</f>
        <v>0</v>
      </c>
      <c r="B387" s="81"/>
      <c r="C387" s="85" t="str">
        <f>IF($A387&lt;=$I379,"Förderung","Förderung, jedoch höchstens lt. Bescheid "&amp; $I379&amp;"€")</f>
        <v>Förderung</v>
      </c>
      <c r="D387" s="85"/>
      <c r="E387" s="85"/>
      <c r="F387" s="37"/>
      <c r="G387" s="86">
        <f>IF($A387&lt;=$I379,$A387, $I379)</f>
        <v>0</v>
      </c>
      <c r="H387" s="87"/>
      <c r="I387" s="47">
        <f>IF($N$5&gt;28,$I$37,0)</f>
        <v>0</v>
      </c>
    </row>
    <row r="388" spans="1:10" ht="15.75" thickBot="1" x14ac:dyDescent="0.3">
      <c r="A388" s="44"/>
      <c r="B388" s="44"/>
      <c r="C388" s="44"/>
      <c r="D388" s="44"/>
      <c r="E388" s="44"/>
      <c r="F388" s="44"/>
      <c r="G388" s="43"/>
      <c r="H388" s="44"/>
      <c r="I388" s="45"/>
    </row>
    <row r="389" spans="1:10" x14ac:dyDescent="0.25">
      <c r="A389" s="22" t="str">
        <f>J389&amp;". Monat"</f>
        <v>29. Monat</v>
      </c>
      <c r="B389" s="22"/>
      <c r="C389" s="22"/>
      <c r="D389" s="22"/>
      <c r="E389" s="22"/>
      <c r="F389" s="22"/>
      <c r="G389" s="22"/>
      <c r="H389" s="22"/>
      <c r="I389" s="23"/>
      <c r="J389">
        <v>29</v>
      </c>
    </row>
    <row r="390" spans="1:10" x14ac:dyDescent="0.25">
      <c r="A390" s="24"/>
      <c r="B390" s="24"/>
      <c r="C390" s="25" t="s">
        <v>205</v>
      </c>
      <c r="D390" s="11"/>
      <c r="E390" s="66">
        <f>(DATE(YEAR($E376),MONTH($E376)+1,1))</f>
        <v>852</v>
      </c>
      <c r="F390" s="14" t="s">
        <v>6</v>
      </c>
      <c r="G390" s="66">
        <f>EOMONTH($E390,0)</f>
        <v>882</v>
      </c>
      <c r="H390" s="24"/>
      <c r="I390" s="26"/>
    </row>
    <row r="391" spans="1:10" x14ac:dyDescent="0.25">
      <c r="A391" s="24"/>
      <c r="B391" s="24"/>
      <c r="C391" s="24"/>
      <c r="D391" s="24"/>
      <c r="E391" s="24"/>
      <c r="F391" s="24"/>
      <c r="G391" s="24"/>
      <c r="H391" s="24"/>
      <c r="I391" s="26"/>
    </row>
    <row r="392" spans="1:10" ht="45" x14ac:dyDescent="0.25">
      <c r="A392" s="27" t="s">
        <v>227</v>
      </c>
      <c r="B392" s="28" t="s">
        <v>197</v>
      </c>
      <c r="C392" s="27" t="s">
        <v>199</v>
      </c>
      <c r="D392" s="28" t="s">
        <v>198</v>
      </c>
      <c r="E392" s="27" t="s">
        <v>202</v>
      </c>
      <c r="F392" s="27" t="s">
        <v>200</v>
      </c>
      <c r="G392" s="28" t="s">
        <v>191</v>
      </c>
      <c r="H392" s="29"/>
      <c r="I392" s="30" t="s">
        <v>192</v>
      </c>
    </row>
    <row r="393" spans="1:10" ht="15.75" thickBot="1" x14ac:dyDescent="0.3">
      <c r="A393" s="10"/>
      <c r="B393" s="31"/>
      <c r="C393" s="14">
        <v>30</v>
      </c>
      <c r="D393" s="11"/>
      <c r="E393" s="14">
        <v>30</v>
      </c>
      <c r="F393" s="11"/>
      <c r="G393" s="32">
        <f>$A393</f>
        <v>0</v>
      </c>
      <c r="H393" s="31"/>
      <c r="I393" s="46">
        <f>IF($P$13=0,0,IF($N$5&gt;=12,$P$13,0))</f>
        <v>0</v>
      </c>
    </row>
    <row r="394" spans="1:10" x14ac:dyDescent="0.25">
      <c r="A394" s="24"/>
      <c r="B394" s="24"/>
      <c r="C394" s="24"/>
      <c r="D394" s="24"/>
      <c r="E394" s="24"/>
      <c r="F394" s="24"/>
      <c r="G394" s="24"/>
      <c r="H394" s="24"/>
      <c r="I394" s="26"/>
    </row>
    <row r="395" spans="1:10" x14ac:dyDescent="0.25">
      <c r="A395" s="31">
        <f>$G393</f>
        <v>0</v>
      </c>
      <c r="B395" s="33"/>
      <c r="C395" s="24" t="s">
        <v>193</v>
      </c>
      <c r="D395" s="24"/>
      <c r="E395" s="24"/>
      <c r="F395" s="24"/>
      <c r="G395" s="24"/>
      <c r="H395" s="24"/>
      <c r="I395" s="26"/>
    </row>
    <row r="396" spans="1:10" x14ac:dyDescent="0.25">
      <c r="A396" s="34">
        <f>A395*20/100</f>
        <v>0</v>
      </c>
      <c r="B396" s="35"/>
      <c r="C396" s="36" t="s">
        <v>194</v>
      </c>
      <c r="D396" s="36"/>
      <c r="E396" s="36"/>
      <c r="F396" s="24"/>
      <c r="G396" s="24"/>
      <c r="H396" s="24"/>
      <c r="I396" s="26"/>
    </row>
    <row r="397" spans="1:10" x14ac:dyDescent="0.25">
      <c r="A397" s="37">
        <f>A395+A396</f>
        <v>0</v>
      </c>
      <c r="B397" s="37"/>
      <c r="C397" s="38"/>
      <c r="D397" s="38"/>
      <c r="E397" s="24"/>
      <c r="F397" s="24"/>
      <c r="G397" s="24"/>
      <c r="H397" s="24"/>
      <c r="I397" s="26"/>
    </row>
    <row r="398" spans="1:10" ht="15.75" thickBot="1" x14ac:dyDescent="0.3">
      <c r="A398" s="40" t="str">
        <f>IF($N$3 =0,"erfassen",$N$3)</f>
        <v>erfassen</v>
      </c>
      <c r="B398" s="36"/>
      <c r="C398" s="36" t="s">
        <v>212</v>
      </c>
      <c r="D398" s="36"/>
      <c r="E398" s="36"/>
      <c r="F398" s="24"/>
      <c r="G398" s="24"/>
      <c r="H398" s="24"/>
      <c r="I398" s="26"/>
    </row>
    <row r="399" spans="1:10" x14ac:dyDescent="0.25">
      <c r="A399" s="80">
        <f>IF(OR($A397=0,$N$3=0),,$N$3*$A397/100)</f>
        <v>0</v>
      </c>
      <c r="B399" s="24"/>
      <c r="C399" s="24"/>
      <c r="D399" s="24"/>
      <c r="E399" s="24"/>
      <c r="F399" s="24"/>
      <c r="G399" s="90" t="s">
        <v>211</v>
      </c>
      <c r="H399" s="91"/>
      <c r="I399" s="39" t="s">
        <v>195</v>
      </c>
    </row>
    <row r="400" spans="1:10" x14ac:dyDescent="0.25">
      <c r="A400" s="80" t="str">
        <f>IF(AND($P$11 &lt;&gt;"",$P$11&lt;=$J389),IF(OR($A395=0,$N$3=0),0,$A399-20*$A399/100),IF(AND($P$9 &lt;&gt;"",$P$9&lt;=$J389),IF(OR($A395=0,$N$3=0),0,$A399-10*$A399/100),""))</f>
        <v/>
      </c>
      <c r="B400" s="24"/>
      <c r="C400" s="11" t="str">
        <f>IF(AND($P$11 &lt;&gt;"",$P$11&lt;=$J389),$N$11&amp;" Degression",IF(AND($P$9 &lt;&gt;"",$P$9&lt;=$J389),$N$9&amp;" Degression",""))</f>
        <v/>
      </c>
      <c r="D400" s="24"/>
      <c r="E400" s="24"/>
      <c r="F400" s="24"/>
      <c r="G400" s="88" t="s">
        <v>210</v>
      </c>
      <c r="H400" s="89"/>
      <c r="I400" s="41" t="str">
        <f>J389&amp;". Rate ausgezahlt"</f>
        <v>29. Rate ausgezahlt</v>
      </c>
    </row>
    <row r="401" spans="1:10" x14ac:dyDescent="0.25">
      <c r="A401" s="81">
        <f>IF(OR($A395=0,$N$3=0),,IF($A400="",$A399,$A400))</f>
        <v>0</v>
      </c>
      <c r="B401" s="81"/>
      <c r="C401" s="85" t="str">
        <f>IF($A401&lt;=$I393,"Förderung","Förderung, jedoch höchstens lt. Bescheid "&amp; $I393&amp;"€")</f>
        <v>Förderung</v>
      </c>
      <c r="D401" s="85"/>
      <c r="E401" s="85"/>
      <c r="F401" s="37"/>
      <c r="G401" s="86">
        <f>IF($A401&lt;=$I393,$A401, $I393)</f>
        <v>0</v>
      </c>
      <c r="H401" s="87"/>
      <c r="I401" s="47">
        <f>IF($N$5&gt;29,$I$37,0)</f>
        <v>0</v>
      </c>
    </row>
    <row r="402" spans="1:10" ht="15.75" thickBot="1" x14ac:dyDescent="0.3">
      <c r="A402" s="44"/>
      <c r="B402" s="44"/>
      <c r="C402" s="44"/>
      <c r="D402" s="44"/>
      <c r="E402" s="44"/>
      <c r="F402" s="44"/>
      <c r="G402" s="43"/>
      <c r="H402" s="44"/>
      <c r="I402" s="45"/>
    </row>
    <row r="403" spans="1:10" x14ac:dyDescent="0.25">
      <c r="A403" s="22" t="str">
        <f>J403&amp;". Monat"</f>
        <v>30. Monat</v>
      </c>
      <c r="B403" s="22"/>
      <c r="C403" s="22"/>
      <c r="D403" s="22"/>
      <c r="E403" s="22"/>
      <c r="F403" s="22"/>
      <c r="G403" s="22"/>
      <c r="H403" s="22"/>
      <c r="I403" s="23"/>
      <c r="J403">
        <v>30</v>
      </c>
    </row>
    <row r="404" spans="1:10" x14ac:dyDescent="0.25">
      <c r="A404" s="24"/>
      <c r="B404" s="24"/>
      <c r="C404" s="25" t="s">
        <v>205</v>
      </c>
      <c r="D404" s="11"/>
      <c r="E404" s="66">
        <f>(DATE(YEAR($E390),MONTH($E390)+1,1))</f>
        <v>883</v>
      </c>
      <c r="F404" s="14" t="s">
        <v>6</v>
      </c>
      <c r="G404" s="66">
        <f>EOMONTH($E404,0)</f>
        <v>912</v>
      </c>
      <c r="H404" s="24"/>
      <c r="I404" s="26"/>
    </row>
    <row r="405" spans="1:10" x14ac:dyDescent="0.25">
      <c r="A405" s="24"/>
      <c r="B405" s="24"/>
      <c r="C405" s="24"/>
      <c r="D405" s="24"/>
      <c r="E405" s="24"/>
      <c r="F405" s="24"/>
      <c r="G405" s="24"/>
      <c r="H405" s="24"/>
      <c r="I405" s="26"/>
    </row>
    <row r="406" spans="1:10" ht="45" x14ac:dyDescent="0.25">
      <c r="A406" s="27" t="s">
        <v>227</v>
      </c>
      <c r="B406" s="28" t="s">
        <v>197</v>
      </c>
      <c r="C406" s="27" t="s">
        <v>199</v>
      </c>
      <c r="D406" s="28" t="s">
        <v>198</v>
      </c>
      <c r="E406" s="27" t="s">
        <v>202</v>
      </c>
      <c r="F406" s="27" t="s">
        <v>200</v>
      </c>
      <c r="G406" s="28" t="s">
        <v>191</v>
      </c>
      <c r="H406" s="29"/>
      <c r="I406" s="30" t="s">
        <v>192</v>
      </c>
    </row>
    <row r="407" spans="1:10" ht="15.75" thickBot="1" x14ac:dyDescent="0.3">
      <c r="A407" s="10"/>
      <c r="B407" s="31"/>
      <c r="C407" s="14">
        <v>30</v>
      </c>
      <c r="D407" s="11"/>
      <c r="E407" s="14">
        <v>30</v>
      </c>
      <c r="F407" s="11"/>
      <c r="G407" s="32">
        <f>$A407</f>
        <v>0</v>
      </c>
      <c r="H407" s="31"/>
      <c r="I407" s="46">
        <f>IF($P$13=0,0,IF($N$5&gt;=12,$P$13,0))</f>
        <v>0</v>
      </c>
    </row>
    <row r="408" spans="1:10" x14ac:dyDescent="0.25">
      <c r="A408" s="24"/>
      <c r="B408" s="24"/>
      <c r="C408" s="24"/>
      <c r="D408" s="24"/>
      <c r="E408" s="24"/>
      <c r="F408" s="24"/>
      <c r="G408" s="24"/>
      <c r="H408" s="24"/>
      <c r="I408" s="26"/>
    </row>
    <row r="409" spans="1:10" x14ac:dyDescent="0.25">
      <c r="A409" s="31">
        <f>$G407</f>
        <v>0</v>
      </c>
      <c r="B409" s="33"/>
      <c r="C409" s="24" t="s">
        <v>193</v>
      </c>
      <c r="D409" s="24"/>
      <c r="E409" s="24"/>
      <c r="F409" s="24"/>
      <c r="G409" s="24"/>
      <c r="H409" s="24"/>
      <c r="I409" s="26"/>
    </row>
    <row r="410" spans="1:10" x14ac:dyDescent="0.25">
      <c r="A410" s="34">
        <f>A409*20/100</f>
        <v>0</v>
      </c>
      <c r="B410" s="35"/>
      <c r="C410" s="36" t="s">
        <v>194</v>
      </c>
      <c r="D410" s="36"/>
      <c r="E410" s="36"/>
      <c r="F410" s="24"/>
      <c r="G410" s="24"/>
      <c r="H410" s="24"/>
      <c r="I410" s="26"/>
    </row>
    <row r="411" spans="1:10" x14ac:dyDescent="0.25">
      <c r="A411" s="37">
        <f>A409+A410</f>
        <v>0</v>
      </c>
      <c r="B411" s="37"/>
      <c r="C411" s="38"/>
      <c r="D411" s="38"/>
      <c r="E411" s="24"/>
      <c r="F411" s="24"/>
      <c r="G411" s="24"/>
      <c r="H411" s="24"/>
      <c r="I411" s="26"/>
    </row>
    <row r="412" spans="1:10" ht="15.75" thickBot="1" x14ac:dyDescent="0.3">
      <c r="A412" s="40" t="str">
        <f>IF($N$3 =0,"erfassen",$N$3)</f>
        <v>erfassen</v>
      </c>
      <c r="B412" s="36"/>
      <c r="C412" s="36" t="s">
        <v>212</v>
      </c>
      <c r="D412" s="36"/>
      <c r="E412" s="36"/>
      <c r="F412" s="24"/>
      <c r="G412" s="24"/>
      <c r="H412" s="24"/>
      <c r="I412" s="26"/>
    </row>
    <row r="413" spans="1:10" x14ac:dyDescent="0.25">
      <c r="A413" s="80">
        <f>IF(OR($A411=0,$N$3=0),,$N$3*$A411/100)</f>
        <v>0</v>
      </c>
      <c r="B413" s="24"/>
      <c r="C413" s="24"/>
      <c r="D413" s="24"/>
      <c r="E413" s="24"/>
      <c r="F413" s="24"/>
      <c r="G413" s="90" t="s">
        <v>211</v>
      </c>
      <c r="H413" s="91"/>
      <c r="I413" s="39" t="s">
        <v>195</v>
      </c>
    </row>
    <row r="414" spans="1:10" x14ac:dyDescent="0.25">
      <c r="A414" s="80" t="str">
        <f>IF(AND($P$11 &lt;&gt;"",$P$11&lt;=$J403),IF(OR($A409=0,$N$3=0),0,$A413-20*$A413/100),IF(AND($P$9 &lt;&gt;"",$P$9&lt;=$J403),IF(OR($A409=0,$N$3=0),0,$A413-10*$A413/100),""))</f>
        <v/>
      </c>
      <c r="B414" s="24"/>
      <c r="C414" s="11" t="str">
        <f>IF(AND($P$11 &lt;&gt;"",$P$11&lt;=$J403),$N$11&amp;" Degression",IF(AND($P$9 &lt;&gt;"",$P$9&lt;=$J403),$N$9&amp;" Degression",""))</f>
        <v/>
      </c>
      <c r="D414" s="24"/>
      <c r="E414" s="24"/>
      <c r="F414" s="24"/>
      <c r="G414" s="88" t="s">
        <v>210</v>
      </c>
      <c r="H414" s="89"/>
      <c r="I414" s="41" t="str">
        <f>J403&amp;". Rate ausgezahlt"</f>
        <v>30. Rate ausgezahlt</v>
      </c>
    </row>
    <row r="415" spans="1:10" x14ac:dyDescent="0.25">
      <c r="A415" s="81">
        <f>IF(OR($A409=0,$N$3=0),,IF($A414="",$A413,$A414))</f>
        <v>0</v>
      </c>
      <c r="B415" s="81"/>
      <c r="C415" s="85" t="str">
        <f>IF($A415&lt;=$I407,"Förderung","Förderung, jedoch höchstens lt. Bescheid "&amp; $I407&amp;"€")</f>
        <v>Förderung</v>
      </c>
      <c r="D415" s="85"/>
      <c r="E415" s="85"/>
      <c r="F415" s="37"/>
      <c r="G415" s="86">
        <f>IF($A415&lt;=$I407,$A415, $I407)</f>
        <v>0</v>
      </c>
      <c r="H415" s="87"/>
      <c r="I415" s="47">
        <f>IF($N$5&gt;30,$I$37,0)</f>
        <v>0</v>
      </c>
    </row>
    <row r="416" spans="1:10" ht="15.75" thickBot="1" x14ac:dyDescent="0.3">
      <c r="A416" s="44"/>
      <c r="B416" s="44"/>
      <c r="C416" s="44"/>
      <c r="D416" s="44"/>
      <c r="E416" s="44"/>
      <c r="F416" s="44"/>
      <c r="G416" s="43"/>
      <c r="H416" s="44"/>
      <c r="I416" s="45"/>
    </row>
    <row r="417" spans="1:10" x14ac:dyDescent="0.25">
      <c r="A417" s="22" t="str">
        <f>J417&amp;". Monat"</f>
        <v>31. Monat</v>
      </c>
      <c r="B417" s="22"/>
      <c r="C417" s="22"/>
      <c r="D417" s="22"/>
      <c r="E417" s="22"/>
      <c r="F417" s="22"/>
      <c r="G417" s="22"/>
      <c r="H417" s="22"/>
      <c r="I417" s="23"/>
      <c r="J417">
        <v>31</v>
      </c>
    </row>
    <row r="418" spans="1:10" x14ac:dyDescent="0.25">
      <c r="A418" s="24"/>
      <c r="B418" s="24"/>
      <c r="C418" s="25" t="s">
        <v>205</v>
      </c>
      <c r="D418" s="11"/>
      <c r="E418" s="66">
        <f>(DATE(YEAR($E404),MONTH($E404)+1,1))</f>
        <v>913</v>
      </c>
      <c r="F418" s="14" t="s">
        <v>6</v>
      </c>
      <c r="G418" s="66">
        <f>EOMONTH($E418,0)</f>
        <v>943</v>
      </c>
      <c r="H418" s="24"/>
      <c r="I418" s="26"/>
    </row>
    <row r="419" spans="1:10" x14ac:dyDescent="0.25">
      <c r="A419" s="24"/>
      <c r="B419" s="24"/>
      <c r="C419" s="24"/>
      <c r="D419" s="24"/>
      <c r="E419" s="24"/>
      <c r="F419" s="24"/>
      <c r="G419" s="24"/>
      <c r="H419" s="24"/>
      <c r="I419" s="26"/>
    </row>
    <row r="420" spans="1:10" ht="45" x14ac:dyDescent="0.25">
      <c r="A420" s="27" t="s">
        <v>227</v>
      </c>
      <c r="B420" s="28" t="s">
        <v>197</v>
      </c>
      <c r="C420" s="27" t="s">
        <v>199</v>
      </c>
      <c r="D420" s="28" t="s">
        <v>198</v>
      </c>
      <c r="E420" s="27" t="s">
        <v>202</v>
      </c>
      <c r="F420" s="27" t="s">
        <v>200</v>
      </c>
      <c r="G420" s="28" t="s">
        <v>191</v>
      </c>
      <c r="H420" s="29"/>
      <c r="I420" s="30" t="s">
        <v>192</v>
      </c>
    </row>
    <row r="421" spans="1:10" ht="15.75" thickBot="1" x14ac:dyDescent="0.3">
      <c r="A421" s="10"/>
      <c r="B421" s="31"/>
      <c r="C421" s="14">
        <v>30</v>
      </c>
      <c r="D421" s="11"/>
      <c r="E421" s="14">
        <v>30</v>
      </c>
      <c r="F421" s="11"/>
      <c r="G421" s="32">
        <f>$A421</f>
        <v>0</v>
      </c>
      <c r="H421" s="31"/>
      <c r="I421" s="46">
        <f>IF($P$13=0,0,IF($N$5&gt;=12,$P$13,0))</f>
        <v>0</v>
      </c>
    </row>
    <row r="422" spans="1:10" x14ac:dyDescent="0.25">
      <c r="A422" s="24"/>
      <c r="B422" s="24"/>
      <c r="C422" s="24"/>
      <c r="D422" s="24"/>
      <c r="E422" s="24"/>
      <c r="F422" s="24"/>
      <c r="G422" s="24"/>
      <c r="H422" s="24"/>
      <c r="I422" s="26"/>
    </row>
    <row r="423" spans="1:10" x14ac:dyDescent="0.25">
      <c r="A423" s="31">
        <f>$G421</f>
        <v>0</v>
      </c>
      <c r="B423" s="33"/>
      <c r="C423" s="24" t="s">
        <v>193</v>
      </c>
      <c r="D423" s="24"/>
      <c r="E423" s="24"/>
      <c r="F423" s="24"/>
      <c r="G423" s="24"/>
      <c r="H423" s="24"/>
      <c r="I423" s="26"/>
    </row>
    <row r="424" spans="1:10" x14ac:dyDescent="0.25">
      <c r="A424" s="34">
        <f>A423*20/100</f>
        <v>0</v>
      </c>
      <c r="B424" s="35"/>
      <c r="C424" s="36" t="s">
        <v>194</v>
      </c>
      <c r="D424" s="36"/>
      <c r="E424" s="36"/>
      <c r="F424" s="24"/>
      <c r="G424" s="24"/>
      <c r="H424" s="24"/>
      <c r="I424" s="26"/>
    </row>
    <row r="425" spans="1:10" x14ac:dyDescent="0.25">
      <c r="A425" s="37">
        <f>A423+A424</f>
        <v>0</v>
      </c>
      <c r="B425" s="37"/>
      <c r="C425" s="38"/>
      <c r="D425" s="38"/>
      <c r="E425" s="24"/>
      <c r="F425" s="24"/>
      <c r="G425" s="24"/>
      <c r="H425" s="24"/>
      <c r="I425" s="26"/>
    </row>
    <row r="426" spans="1:10" ht="15.75" thickBot="1" x14ac:dyDescent="0.3">
      <c r="A426" s="40" t="str">
        <f>IF($N$3 =0,"erfassen",$N$3)</f>
        <v>erfassen</v>
      </c>
      <c r="B426" s="36"/>
      <c r="C426" s="36" t="s">
        <v>212</v>
      </c>
      <c r="D426" s="36"/>
      <c r="E426" s="36"/>
      <c r="F426" s="24"/>
      <c r="G426" s="24"/>
      <c r="H426" s="24"/>
      <c r="I426" s="26"/>
    </row>
    <row r="427" spans="1:10" x14ac:dyDescent="0.25">
      <c r="A427" s="80">
        <f>IF(OR($A425=0,$N$3=0),,$N$3*$A425/100)</f>
        <v>0</v>
      </c>
      <c r="B427" s="24"/>
      <c r="C427" s="24"/>
      <c r="D427" s="24"/>
      <c r="E427" s="24"/>
      <c r="F427" s="24"/>
      <c r="G427" s="90" t="s">
        <v>211</v>
      </c>
      <c r="H427" s="91"/>
      <c r="I427" s="39" t="s">
        <v>195</v>
      </c>
    </row>
    <row r="428" spans="1:10" x14ac:dyDescent="0.25">
      <c r="A428" s="80" t="str">
        <f>IF(AND($P$11 &lt;&gt;"",$P$11&lt;=$J417),IF(OR($A423=0,$N$3=0),0,$A427-20*$A427/100),IF(AND($P$9 &lt;&gt;"",$P$9&lt;=$J417),IF(OR($A423=0,$N$3=0),0,$A427-10*$A427/100),""))</f>
        <v/>
      </c>
      <c r="B428" s="24"/>
      <c r="C428" s="11" t="str">
        <f>IF(AND($P$11 &lt;&gt;"",$P$11&lt;=$J417),$N$11&amp;" Degression",IF(AND($P$9 &lt;&gt;"",$P$9&lt;=$J417),$N$9&amp;" Degression",""))</f>
        <v/>
      </c>
      <c r="D428" s="24"/>
      <c r="E428" s="24"/>
      <c r="F428" s="24"/>
      <c r="G428" s="88" t="s">
        <v>210</v>
      </c>
      <c r="H428" s="89"/>
      <c r="I428" s="41" t="str">
        <f>J417&amp;". Rate ausgezahlt"</f>
        <v>31. Rate ausgezahlt</v>
      </c>
    </row>
    <row r="429" spans="1:10" x14ac:dyDescent="0.25">
      <c r="A429" s="81">
        <f>IF(OR($A423=0,$N$3=0),,IF($A428="",$A427,$A428))</f>
        <v>0</v>
      </c>
      <c r="B429" s="81"/>
      <c r="C429" s="85" t="str">
        <f>IF($A429&lt;=$I421,"Förderung","Förderung, jedoch höchstens lt. Bescheid "&amp; $I421&amp;"€")</f>
        <v>Förderung</v>
      </c>
      <c r="D429" s="85"/>
      <c r="E429" s="85"/>
      <c r="F429" s="37"/>
      <c r="G429" s="86">
        <f>IF($A429&lt;=$I421,$A429, $I421)</f>
        <v>0</v>
      </c>
      <c r="H429" s="87"/>
      <c r="I429" s="47">
        <f>IF($N$5&gt;31,$I$37,0)</f>
        <v>0</v>
      </c>
    </row>
    <row r="430" spans="1:10" ht="15.75" thickBot="1" x14ac:dyDescent="0.3">
      <c r="A430" s="44"/>
      <c r="B430" s="44"/>
      <c r="C430" s="44"/>
      <c r="D430" s="44"/>
      <c r="E430" s="44"/>
      <c r="F430" s="44"/>
      <c r="G430" s="43"/>
      <c r="H430" s="44"/>
      <c r="I430" s="45"/>
    </row>
    <row r="431" spans="1:10" x14ac:dyDescent="0.25">
      <c r="A431" s="22" t="str">
        <f>J431&amp;". Monat"</f>
        <v>32. Monat</v>
      </c>
      <c r="B431" s="22"/>
      <c r="C431" s="22"/>
      <c r="D431" s="22"/>
      <c r="E431" s="22"/>
      <c r="F431" s="22"/>
      <c r="G431" s="22"/>
      <c r="H431" s="22"/>
      <c r="I431" s="23"/>
      <c r="J431">
        <v>32</v>
      </c>
    </row>
    <row r="432" spans="1:10" x14ac:dyDescent="0.25">
      <c r="A432" s="24"/>
      <c r="B432" s="24"/>
      <c r="C432" s="25" t="s">
        <v>205</v>
      </c>
      <c r="D432" s="11"/>
      <c r="E432" s="66">
        <f>(DATE(YEAR($E418),MONTH($E418)+1,1))</f>
        <v>944</v>
      </c>
      <c r="F432" s="14" t="s">
        <v>6</v>
      </c>
      <c r="G432" s="66">
        <f>EOMONTH($E432,0)</f>
        <v>974</v>
      </c>
      <c r="H432" s="24"/>
      <c r="I432" s="26"/>
    </row>
    <row r="433" spans="1:10" x14ac:dyDescent="0.25">
      <c r="A433" s="24"/>
      <c r="B433" s="24"/>
      <c r="C433" s="24"/>
      <c r="D433" s="24"/>
      <c r="E433" s="24"/>
      <c r="F433" s="24"/>
      <c r="G433" s="24"/>
      <c r="H433" s="24"/>
      <c r="I433" s="26"/>
    </row>
    <row r="434" spans="1:10" ht="45" x14ac:dyDescent="0.25">
      <c r="A434" s="27" t="s">
        <v>227</v>
      </c>
      <c r="B434" s="28" t="s">
        <v>197</v>
      </c>
      <c r="C434" s="27" t="s">
        <v>199</v>
      </c>
      <c r="D434" s="28" t="s">
        <v>198</v>
      </c>
      <c r="E434" s="27" t="s">
        <v>202</v>
      </c>
      <c r="F434" s="27" t="s">
        <v>200</v>
      </c>
      <c r="G434" s="28" t="s">
        <v>191</v>
      </c>
      <c r="H434" s="29"/>
      <c r="I434" s="30" t="s">
        <v>192</v>
      </c>
    </row>
    <row r="435" spans="1:10" ht="15.75" thickBot="1" x14ac:dyDescent="0.3">
      <c r="A435" s="10"/>
      <c r="B435" s="31"/>
      <c r="C435" s="14">
        <v>30</v>
      </c>
      <c r="D435" s="11"/>
      <c r="E435" s="14">
        <v>30</v>
      </c>
      <c r="F435" s="11"/>
      <c r="G435" s="32">
        <f>$A435</f>
        <v>0</v>
      </c>
      <c r="H435" s="31"/>
      <c r="I435" s="46">
        <f>IF($P$13=0,0,IF($N$5&gt;=12,$P$13,0))</f>
        <v>0</v>
      </c>
    </row>
    <row r="436" spans="1:10" x14ac:dyDescent="0.25">
      <c r="A436" s="24"/>
      <c r="B436" s="24"/>
      <c r="C436" s="24"/>
      <c r="D436" s="24"/>
      <c r="E436" s="24"/>
      <c r="F436" s="24"/>
      <c r="G436" s="24"/>
      <c r="H436" s="24"/>
      <c r="I436" s="26"/>
    </row>
    <row r="437" spans="1:10" x14ac:dyDescent="0.25">
      <c r="A437" s="31">
        <f>$G435</f>
        <v>0</v>
      </c>
      <c r="B437" s="33"/>
      <c r="C437" s="24" t="s">
        <v>193</v>
      </c>
      <c r="D437" s="24"/>
      <c r="E437" s="24"/>
      <c r="F437" s="24"/>
      <c r="G437" s="24"/>
      <c r="H437" s="24"/>
      <c r="I437" s="26"/>
    </row>
    <row r="438" spans="1:10" x14ac:dyDescent="0.25">
      <c r="A438" s="34">
        <f>A437*20/100</f>
        <v>0</v>
      </c>
      <c r="B438" s="35"/>
      <c r="C438" s="36" t="s">
        <v>194</v>
      </c>
      <c r="D438" s="36"/>
      <c r="E438" s="36"/>
      <c r="F438" s="24"/>
      <c r="G438" s="24"/>
      <c r="H438" s="24"/>
      <c r="I438" s="26"/>
    </row>
    <row r="439" spans="1:10" x14ac:dyDescent="0.25">
      <c r="A439" s="37">
        <f>A437+A438</f>
        <v>0</v>
      </c>
      <c r="B439" s="37"/>
      <c r="C439" s="38"/>
      <c r="D439" s="38"/>
      <c r="E439" s="24"/>
      <c r="F439" s="24"/>
      <c r="G439" s="24"/>
      <c r="H439" s="24"/>
      <c r="I439" s="26"/>
    </row>
    <row r="440" spans="1:10" ht="15.75" thickBot="1" x14ac:dyDescent="0.3">
      <c r="A440" s="40" t="str">
        <f>IF($N$3 =0,"erfassen",$N$3)</f>
        <v>erfassen</v>
      </c>
      <c r="B440" s="36"/>
      <c r="C440" s="36" t="s">
        <v>212</v>
      </c>
      <c r="D440" s="36"/>
      <c r="E440" s="36"/>
      <c r="F440" s="24"/>
      <c r="G440" s="24"/>
      <c r="H440" s="24"/>
      <c r="I440" s="26"/>
    </row>
    <row r="441" spans="1:10" x14ac:dyDescent="0.25">
      <c r="A441" s="80">
        <f>IF(OR($A439=0,$N$3=0),,$N$3*$A439/100)</f>
        <v>0</v>
      </c>
      <c r="B441" s="24"/>
      <c r="C441" s="24"/>
      <c r="D441" s="24"/>
      <c r="E441" s="24"/>
      <c r="F441" s="24"/>
      <c r="G441" s="90" t="s">
        <v>211</v>
      </c>
      <c r="H441" s="91"/>
      <c r="I441" s="39" t="s">
        <v>195</v>
      </c>
    </row>
    <row r="442" spans="1:10" x14ac:dyDescent="0.25">
      <c r="A442" s="80" t="str">
        <f>IF(AND($P$11 &lt;&gt;"",$P$11&lt;=$J431),IF(OR($A437=0,$N$3=0),0,$A441-20*$A441/100),IF(AND($P$9 &lt;&gt;"",$P$9&lt;=$J431),IF(OR($A437=0,$N$3=0),0,$A441-10*$A441/100),""))</f>
        <v/>
      </c>
      <c r="B442" s="24"/>
      <c r="C442" s="11" t="str">
        <f>IF(AND($P$11 &lt;&gt;"",$P$11&lt;=$J431),$N$11&amp;" Degression",IF(AND($P$9 &lt;&gt;"",$P$9&lt;=$J431),$N$9&amp;" Degression",""))</f>
        <v/>
      </c>
      <c r="D442" s="24"/>
      <c r="E442" s="24"/>
      <c r="F442" s="24"/>
      <c r="G442" s="88" t="s">
        <v>210</v>
      </c>
      <c r="H442" s="89"/>
      <c r="I442" s="41" t="str">
        <f>J431&amp;". Rate ausgezahlt"</f>
        <v>32. Rate ausgezahlt</v>
      </c>
    </row>
    <row r="443" spans="1:10" x14ac:dyDescent="0.25">
      <c r="A443" s="81">
        <f>IF(OR($A437=0,$N$3=0),,IF($A442="",$A441,$A442))</f>
        <v>0</v>
      </c>
      <c r="B443" s="81"/>
      <c r="C443" s="85" t="str">
        <f>IF($A443&lt;=$I435,"Förderung","Förderung, jedoch höchstens lt. Bescheid "&amp; $I435&amp;"€")</f>
        <v>Förderung</v>
      </c>
      <c r="D443" s="85"/>
      <c r="E443" s="85"/>
      <c r="F443" s="37"/>
      <c r="G443" s="86">
        <f>IF($A443&lt;=$I435,$A443, $I435)</f>
        <v>0</v>
      </c>
      <c r="H443" s="87"/>
      <c r="I443" s="47">
        <f>IF($N$5&gt;32,$I$37,0)</f>
        <v>0</v>
      </c>
    </row>
    <row r="444" spans="1:10" ht="15.75" thickBot="1" x14ac:dyDescent="0.3">
      <c r="A444" s="44"/>
      <c r="B444" s="44"/>
      <c r="C444" s="44"/>
      <c r="D444" s="44"/>
      <c r="E444" s="44"/>
      <c r="F444" s="44"/>
      <c r="G444" s="43"/>
      <c r="H444" s="44"/>
      <c r="I444" s="45"/>
    </row>
    <row r="445" spans="1:10" x14ac:dyDescent="0.25">
      <c r="A445" s="22" t="str">
        <f>J445&amp;". Monat"</f>
        <v>33. Monat</v>
      </c>
      <c r="B445" s="22"/>
      <c r="C445" s="22"/>
      <c r="D445" s="22"/>
      <c r="E445" s="22"/>
      <c r="F445" s="22"/>
      <c r="G445" s="22"/>
      <c r="H445" s="22"/>
      <c r="I445" s="23"/>
      <c r="J445">
        <v>33</v>
      </c>
    </row>
    <row r="446" spans="1:10" x14ac:dyDescent="0.25">
      <c r="A446" s="24"/>
      <c r="B446" s="24"/>
      <c r="C446" s="25" t="s">
        <v>205</v>
      </c>
      <c r="D446" s="11"/>
      <c r="E446" s="66">
        <f>(DATE(YEAR($E432),MONTH($E432)+1,1))</f>
        <v>975</v>
      </c>
      <c r="F446" s="14" t="s">
        <v>6</v>
      </c>
      <c r="G446" s="66">
        <f>EOMONTH($E446,0)</f>
        <v>1004</v>
      </c>
      <c r="H446" s="24"/>
      <c r="I446" s="26"/>
    </row>
    <row r="447" spans="1:10" x14ac:dyDescent="0.25">
      <c r="A447" s="24"/>
      <c r="B447" s="24"/>
      <c r="C447" s="24"/>
      <c r="D447" s="24"/>
      <c r="E447" s="24"/>
      <c r="F447" s="24"/>
      <c r="G447" s="24"/>
      <c r="H447" s="24"/>
      <c r="I447" s="26"/>
    </row>
    <row r="448" spans="1:10" ht="45" x14ac:dyDescent="0.25">
      <c r="A448" s="27" t="s">
        <v>227</v>
      </c>
      <c r="B448" s="28" t="s">
        <v>197</v>
      </c>
      <c r="C448" s="27" t="s">
        <v>199</v>
      </c>
      <c r="D448" s="28" t="s">
        <v>198</v>
      </c>
      <c r="E448" s="27" t="s">
        <v>202</v>
      </c>
      <c r="F448" s="27" t="s">
        <v>200</v>
      </c>
      <c r="G448" s="28" t="s">
        <v>191</v>
      </c>
      <c r="H448" s="29"/>
      <c r="I448" s="30" t="s">
        <v>192</v>
      </c>
    </row>
    <row r="449" spans="1:10" ht="15.75" thickBot="1" x14ac:dyDescent="0.3">
      <c r="A449" s="10"/>
      <c r="B449" s="31"/>
      <c r="C449" s="14">
        <v>30</v>
      </c>
      <c r="D449" s="11"/>
      <c r="E449" s="14">
        <v>30</v>
      </c>
      <c r="F449" s="11"/>
      <c r="G449" s="32">
        <f>$A449</f>
        <v>0</v>
      </c>
      <c r="H449" s="31"/>
      <c r="I449" s="46">
        <f>IF($P$13=0,0,IF($N$5&gt;=12,$P$13,0))</f>
        <v>0</v>
      </c>
    </row>
    <row r="450" spans="1:10" x14ac:dyDescent="0.25">
      <c r="A450" s="24"/>
      <c r="B450" s="24"/>
      <c r="C450" s="24"/>
      <c r="D450" s="24"/>
      <c r="E450" s="24"/>
      <c r="F450" s="24"/>
      <c r="G450" s="24"/>
      <c r="H450" s="24"/>
      <c r="I450" s="26"/>
    </row>
    <row r="451" spans="1:10" x14ac:dyDescent="0.25">
      <c r="A451" s="31">
        <f>$G449</f>
        <v>0</v>
      </c>
      <c r="B451" s="33"/>
      <c r="C451" s="24" t="s">
        <v>193</v>
      </c>
      <c r="D451" s="24"/>
      <c r="E451" s="24"/>
      <c r="F451" s="24"/>
      <c r="G451" s="24"/>
      <c r="H451" s="24"/>
      <c r="I451" s="26"/>
    </row>
    <row r="452" spans="1:10" x14ac:dyDescent="0.25">
      <c r="A452" s="34">
        <f>A451*20/100</f>
        <v>0</v>
      </c>
      <c r="B452" s="35"/>
      <c r="C452" s="36" t="s">
        <v>194</v>
      </c>
      <c r="D452" s="36"/>
      <c r="E452" s="36"/>
      <c r="F452" s="24"/>
      <c r="G452" s="24"/>
      <c r="H452" s="24"/>
      <c r="I452" s="26"/>
    </row>
    <row r="453" spans="1:10" x14ac:dyDescent="0.25">
      <c r="A453" s="37">
        <f>A451+A452</f>
        <v>0</v>
      </c>
      <c r="B453" s="37"/>
      <c r="C453" s="38"/>
      <c r="D453" s="38"/>
      <c r="E453" s="24"/>
      <c r="F453" s="24"/>
      <c r="G453" s="24"/>
      <c r="H453" s="24"/>
      <c r="I453" s="26"/>
    </row>
    <row r="454" spans="1:10" ht="15.75" thickBot="1" x14ac:dyDescent="0.3">
      <c r="A454" s="40" t="str">
        <f>IF($N$3 =0,"erfassen",$N$3)</f>
        <v>erfassen</v>
      </c>
      <c r="B454" s="36"/>
      <c r="C454" s="36" t="s">
        <v>212</v>
      </c>
      <c r="D454" s="36"/>
      <c r="E454" s="36"/>
      <c r="F454" s="24"/>
      <c r="G454" s="24"/>
      <c r="H454" s="24"/>
      <c r="I454" s="26"/>
    </row>
    <row r="455" spans="1:10" x14ac:dyDescent="0.25">
      <c r="A455" s="80">
        <f>IF(OR($A453=0,$N$3=0),,$N$3*$A453/100)</f>
        <v>0</v>
      </c>
      <c r="B455" s="24"/>
      <c r="C455" s="24"/>
      <c r="D455" s="24"/>
      <c r="E455" s="24"/>
      <c r="F455" s="24"/>
      <c r="G455" s="90" t="s">
        <v>211</v>
      </c>
      <c r="H455" s="91"/>
      <c r="I455" s="39" t="s">
        <v>195</v>
      </c>
    </row>
    <row r="456" spans="1:10" x14ac:dyDescent="0.25">
      <c r="A456" s="80" t="str">
        <f>IF(AND($P$11 &lt;&gt;"",$P$11&lt;=$J445),IF(OR($A451=0,$N$3=0),0,$A455-20*$A455/100),IF(AND($P$9 &lt;&gt;"",$P$9&lt;=$J445),IF(OR($A451=0,$N$3=0),0,$A455-10*$A455/100),""))</f>
        <v/>
      </c>
      <c r="B456" s="24"/>
      <c r="C456" s="11" t="str">
        <f>IF(AND($P$11 &lt;&gt;"",$P$11&lt;=$J445),$N$11&amp;" Degression",IF(AND($P$9 &lt;&gt;"",$P$9&lt;=$J445),$N$9&amp;" Degression",""))</f>
        <v/>
      </c>
      <c r="D456" s="24"/>
      <c r="E456" s="24"/>
      <c r="F456" s="24"/>
      <c r="G456" s="88" t="s">
        <v>210</v>
      </c>
      <c r="H456" s="89"/>
      <c r="I456" s="41" t="str">
        <f>J445&amp;". Rate ausgezahlt"</f>
        <v>33. Rate ausgezahlt</v>
      </c>
    </row>
    <row r="457" spans="1:10" x14ac:dyDescent="0.25">
      <c r="A457" s="81">
        <f>IF(OR($A451=0,$N$3=0),,IF($A456="",$A455,$A456))</f>
        <v>0</v>
      </c>
      <c r="B457" s="81"/>
      <c r="C457" s="85" t="str">
        <f>IF($A457&lt;=$I449,"Förderung","Förderung, jedoch höchstens lt. Bescheid "&amp; $I449&amp;"€")</f>
        <v>Förderung</v>
      </c>
      <c r="D457" s="85"/>
      <c r="E457" s="85"/>
      <c r="F457" s="37"/>
      <c r="G457" s="86">
        <f>IF($A457&lt;=$I449,$A457, $I449)</f>
        <v>0</v>
      </c>
      <c r="H457" s="87"/>
      <c r="I457" s="47">
        <f>IF($N$5&gt;33,$I$37,0)</f>
        <v>0</v>
      </c>
    </row>
    <row r="458" spans="1:10" ht="15.75" thickBot="1" x14ac:dyDescent="0.3">
      <c r="A458" s="44"/>
      <c r="B458" s="44"/>
      <c r="C458" s="44"/>
      <c r="D458" s="44"/>
      <c r="E458" s="44"/>
      <c r="F458" s="44"/>
      <c r="G458" s="43"/>
      <c r="H458" s="44"/>
      <c r="I458" s="45"/>
    </row>
    <row r="459" spans="1:10" x14ac:dyDescent="0.25">
      <c r="A459" s="22" t="str">
        <f>J459&amp;". Monat"</f>
        <v>34. Monat</v>
      </c>
      <c r="B459" s="22"/>
      <c r="C459" s="22"/>
      <c r="D459" s="22"/>
      <c r="E459" s="22"/>
      <c r="F459" s="22"/>
      <c r="G459" s="22"/>
      <c r="H459" s="22"/>
      <c r="I459" s="23"/>
      <c r="J459">
        <v>34</v>
      </c>
    </row>
    <row r="460" spans="1:10" x14ac:dyDescent="0.25">
      <c r="A460" s="24"/>
      <c r="B460" s="24"/>
      <c r="C460" s="25" t="s">
        <v>205</v>
      </c>
      <c r="D460" s="11"/>
      <c r="E460" s="66">
        <f>(DATE(YEAR($E446),MONTH($E446)+1,1))</f>
        <v>1005</v>
      </c>
      <c r="F460" s="14" t="s">
        <v>6</v>
      </c>
      <c r="G460" s="66">
        <f>EOMONTH($E460,0)</f>
        <v>1035</v>
      </c>
      <c r="H460" s="24"/>
      <c r="I460" s="26"/>
    </row>
    <row r="461" spans="1:10" x14ac:dyDescent="0.25">
      <c r="A461" s="24"/>
      <c r="B461" s="24"/>
      <c r="C461" s="24"/>
      <c r="D461" s="24"/>
      <c r="E461" s="24"/>
      <c r="F461" s="24"/>
      <c r="G461" s="24"/>
      <c r="H461" s="24"/>
      <c r="I461" s="26"/>
    </row>
    <row r="462" spans="1:10" ht="45" x14ac:dyDescent="0.25">
      <c r="A462" s="27" t="s">
        <v>227</v>
      </c>
      <c r="B462" s="28" t="s">
        <v>197</v>
      </c>
      <c r="C462" s="27" t="s">
        <v>199</v>
      </c>
      <c r="D462" s="28" t="s">
        <v>198</v>
      </c>
      <c r="E462" s="27" t="s">
        <v>202</v>
      </c>
      <c r="F462" s="27" t="s">
        <v>200</v>
      </c>
      <c r="G462" s="28" t="s">
        <v>191</v>
      </c>
      <c r="H462" s="29"/>
      <c r="I462" s="30" t="s">
        <v>192</v>
      </c>
    </row>
    <row r="463" spans="1:10" ht="15.75" thickBot="1" x14ac:dyDescent="0.3">
      <c r="A463" s="10"/>
      <c r="B463" s="31"/>
      <c r="C463" s="14">
        <v>30</v>
      </c>
      <c r="D463" s="11"/>
      <c r="E463" s="14">
        <v>30</v>
      </c>
      <c r="F463" s="11"/>
      <c r="G463" s="32">
        <f>$A463</f>
        <v>0</v>
      </c>
      <c r="H463" s="31"/>
      <c r="I463" s="46">
        <f>IF($P$13=0,0,IF($N$5&gt;=12,$P$13,0))</f>
        <v>0</v>
      </c>
    </row>
    <row r="464" spans="1:10" x14ac:dyDescent="0.25">
      <c r="A464" s="24"/>
      <c r="B464" s="24"/>
      <c r="C464" s="24"/>
      <c r="D464" s="24"/>
      <c r="E464" s="24"/>
      <c r="F464" s="24"/>
      <c r="G464" s="24"/>
      <c r="H464" s="24"/>
      <c r="I464" s="26"/>
    </row>
    <row r="465" spans="1:10" x14ac:dyDescent="0.25">
      <c r="A465" s="31">
        <f>$G463</f>
        <v>0</v>
      </c>
      <c r="B465" s="33"/>
      <c r="C465" s="24" t="s">
        <v>193</v>
      </c>
      <c r="D465" s="24"/>
      <c r="E465" s="24"/>
      <c r="F465" s="24"/>
      <c r="G465" s="24"/>
      <c r="H465" s="24"/>
      <c r="I465" s="26"/>
    </row>
    <row r="466" spans="1:10" x14ac:dyDescent="0.25">
      <c r="A466" s="34">
        <f>A465*20/100</f>
        <v>0</v>
      </c>
      <c r="B466" s="35"/>
      <c r="C466" s="36" t="s">
        <v>194</v>
      </c>
      <c r="D466" s="36"/>
      <c r="E466" s="36"/>
      <c r="F466" s="24"/>
      <c r="G466" s="24"/>
      <c r="H466" s="24"/>
      <c r="I466" s="26"/>
    </row>
    <row r="467" spans="1:10" x14ac:dyDescent="0.25">
      <c r="A467" s="37">
        <f>A465+A466</f>
        <v>0</v>
      </c>
      <c r="B467" s="37"/>
      <c r="C467" s="38"/>
      <c r="D467" s="38"/>
      <c r="E467" s="24"/>
      <c r="F467" s="24"/>
      <c r="G467" s="24"/>
      <c r="H467" s="24"/>
      <c r="I467" s="26"/>
    </row>
    <row r="468" spans="1:10" ht="15.75" thickBot="1" x14ac:dyDescent="0.3">
      <c r="A468" s="40" t="str">
        <f>IF($N$3 =0,"erfassen",$N$3)</f>
        <v>erfassen</v>
      </c>
      <c r="B468" s="36"/>
      <c r="C468" s="36" t="s">
        <v>212</v>
      </c>
      <c r="D468" s="36"/>
      <c r="E468" s="36"/>
      <c r="F468" s="24"/>
      <c r="G468" s="24"/>
      <c r="H468" s="24"/>
      <c r="I468" s="26"/>
    </row>
    <row r="469" spans="1:10" x14ac:dyDescent="0.25">
      <c r="A469" s="80">
        <f>IF(OR($A467=0,$N$3=0),,$N$3*$A467/100)</f>
        <v>0</v>
      </c>
      <c r="B469" s="24"/>
      <c r="C469" s="24"/>
      <c r="D469" s="24"/>
      <c r="E469" s="24"/>
      <c r="F469" s="24"/>
      <c r="G469" s="90" t="s">
        <v>211</v>
      </c>
      <c r="H469" s="91"/>
      <c r="I469" s="39" t="s">
        <v>195</v>
      </c>
    </row>
    <row r="470" spans="1:10" x14ac:dyDescent="0.25">
      <c r="A470" s="80" t="str">
        <f>IF(AND($P$11 &lt;&gt;"",$P$11&lt;=$J459),IF(OR($A465=0,$N$3=0),0,$A469-20*$A469/100),IF(AND($P$9 &lt;&gt;"",$P$9&lt;=$J459),IF(OR($A465=0,$N$3=0),0,$A469-10*$A469/100),""))</f>
        <v/>
      </c>
      <c r="B470" s="24"/>
      <c r="C470" s="11" t="str">
        <f>IF(AND($P$11 &lt;&gt;"",$P$11&lt;=$J459),$N$11&amp;" Degression",IF(AND($P$9 &lt;&gt;"",$P$9&lt;=$J459),$N$9&amp;" Degression",""))</f>
        <v/>
      </c>
      <c r="D470" s="24"/>
      <c r="E470" s="24"/>
      <c r="F470" s="24"/>
      <c r="G470" s="88" t="s">
        <v>210</v>
      </c>
      <c r="H470" s="89"/>
      <c r="I470" s="41" t="str">
        <f>J459&amp;". Rate ausgezahlt"</f>
        <v>34. Rate ausgezahlt</v>
      </c>
    </row>
    <row r="471" spans="1:10" x14ac:dyDescent="0.25">
      <c r="A471" s="81">
        <f>IF(OR($A465=0,$N$3=0),,IF($A470="",$A469,$A470))</f>
        <v>0</v>
      </c>
      <c r="B471" s="81"/>
      <c r="C471" s="85" t="str">
        <f>IF($A471&lt;=$I463,"Förderung","Förderung, jedoch höchstens lt. Bescheid "&amp; $I463&amp;"€")</f>
        <v>Förderung</v>
      </c>
      <c r="D471" s="85"/>
      <c r="E471" s="85"/>
      <c r="F471" s="37"/>
      <c r="G471" s="86">
        <f>IF($A471&lt;=$I463,$A471, $I463)</f>
        <v>0</v>
      </c>
      <c r="H471" s="87"/>
      <c r="I471" s="47">
        <f>IF($N$5&gt;34,$I$37,0)</f>
        <v>0</v>
      </c>
    </row>
    <row r="472" spans="1:10" ht="15.75" thickBot="1" x14ac:dyDescent="0.3">
      <c r="A472" s="44"/>
      <c r="B472" s="44"/>
      <c r="C472" s="44"/>
      <c r="D472" s="44"/>
      <c r="E472" s="44"/>
      <c r="F472" s="44"/>
      <c r="G472" s="43"/>
      <c r="H472" s="44"/>
      <c r="I472" s="45"/>
    </row>
    <row r="473" spans="1:10" x14ac:dyDescent="0.25">
      <c r="A473" s="22" t="str">
        <f>J473&amp;". Monat"</f>
        <v>35. Monat</v>
      </c>
      <c r="B473" s="22"/>
      <c r="C473" s="22"/>
      <c r="D473" s="22"/>
      <c r="E473" s="22"/>
      <c r="F473" s="22"/>
      <c r="G473" s="22"/>
      <c r="H473" s="22"/>
      <c r="I473" s="23"/>
      <c r="J473">
        <v>35</v>
      </c>
    </row>
    <row r="474" spans="1:10" x14ac:dyDescent="0.25">
      <c r="A474" s="24"/>
      <c r="B474" s="24"/>
      <c r="C474" s="25" t="s">
        <v>205</v>
      </c>
      <c r="D474" s="11"/>
      <c r="E474" s="66">
        <f>(DATE(YEAR($E460),MONTH($E460)+1,1))</f>
        <v>1036</v>
      </c>
      <c r="F474" s="14" t="s">
        <v>6</v>
      </c>
      <c r="G474" s="66">
        <f>EOMONTH($E474,0)</f>
        <v>1065</v>
      </c>
      <c r="H474" s="24"/>
      <c r="I474" s="26"/>
    </row>
    <row r="475" spans="1:10" x14ac:dyDescent="0.25">
      <c r="A475" s="24"/>
      <c r="B475" s="24"/>
      <c r="C475" s="24"/>
      <c r="D475" s="24"/>
      <c r="E475" s="24"/>
      <c r="F475" s="24"/>
      <c r="G475" s="24"/>
      <c r="H475" s="24"/>
      <c r="I475" s="26"/>
    </row>
    <row r="476" spans="1:10" ht="45" x14ac:dyDescent="0.25">
      <c r="A476" s="27" t="s">
        <v>227</v>
      </c>
      <c r="B476" s="28" t="s">
        <v>197</v>
      </c>
      <c r="C476" s="27" t="s">
        <v>199</v>
      </c>
      <c r="D476" s="28" t="s">
        <v>198</v>
      </c>
      <c r="E476" s="27" t="s">
        <v>202</v>
      </c>
      <c r="F476" s="27" t="s">
        <v>200</v>
      </c>
      <c r="G476" s="28" t="s">
        <v>191</v>
      </c>
      <c r="H476" s="29"/>
      <c r="I476" s="30" t="s">
        <v>192</v>
      </c>
    </row>
    <row r="477" spans="1:10" ht="15.75" thickBot="1" x14ac:dyDescent="0.3">
      <c r="A477" s="10"/>
      <c r="B477" s="31"/>
      <c r="C477" s="14">
        <v>30</v>
      </c>
      <c r="D477" s="11"/>
      <c r="E477" s="14">
        <v>30</v>
      </c>
      <c r="F477" s="11"/>
      <c r="G477" s="32">
        <f>$A477</f>
        <v>0</v>
      </c>
      <c r="H477" s="31"/>
      <c r="I477" s="46">
        <f>IF($P$13=0,0,IF($N$5&gt;=12,$P$13,0))</f>
        <v>0</v>
      </c>
    </row>
    <row r="478" spans="1:10" x14ac:dyDescent="0.25">
      <c r="A478" s="24"/>
      <c r="B478" s="24"/>
      <c r="C478" s="24"/>
      <c r="D478" s="24"/>
      <c r="E478" s="24"/>
      <c r="F478" s="24"/>
      <c r="G478" s="24"/>
      <c r="H478" s="24"/>
      <c r="I478" s="26"/>
    </row>
    <row r="479" spans="1:10" x14ac:dyDescent="0.25">
      <c r="A479" s="31">
        <f>$G477</f>
        <v>0</v>
      </c>
      <c r="B479" s="33"/>
      <c r="C479" s="24" t="s">
        <v>193</v>
      </c>
      <c r="D479" s="24"/>
      <c r="E479" s="24"/>
      <c r="F479" s="24"/>
      <c r="G479" s="24"/>
      <c r="H479" s="24"/>
      <c r="I479" s="26"/>
    </row>
    <row r="480" spans="1:10" x14ac:dyDescent="0.25">
      <c r="A480" s="34">
        <f>A479*20/100</f>
        <v>0</v>
      </c>
      <c r="B480" s="35"/>
      <c r="C480" s="36" t="s">
        <v>194</v>
      </c>
      <c r="D480" s="36"/>
      <c r="E480" s="36"/>
      <c r="F480" s="24"/>
      <c r="G480" s="24"/>
      <c r="H480" s="24"/>
      <c r="I480" s="26"/>
    </row>
    <row r="481" spans="1:10" x14ac:dyDescent="0.25">
      <c r="A481" s="37">
        <f>A479+A480</f>
        <v>0</v>
      </c>
      <c r="B481" s="37"/>
      <c r="C481" s="38"/>
      <c r="D481" s="38"/>
      <c r="E481" s="24"/>
      <c r="F481" s="24"/>
      <c r="G481" s="24"/>
      <c r="H481" s="24"/>
      <c r="I481" s="26"/>
    </row>
    <row r="482" spans="1:10" ht="15.75" thickBot="1" x14ac:dyDescent="0.3">
      <c r="A482" s="40" t="str">
        <f>IF($N$3 =0,"erfassen",$N$3)</f>
        <v>erfassen</v>
      </c>
      <c r="B482" s="36"/>
      <c r="C482" s="36" t="s">
        <v>212</v>
      </c>
      <c r="D482" s="36"/>
      <c r="E482" s="36"/>
      <c r="F482" s="24"/>
      <c r="G482" s="24"/>
      <c r="H482" s="24"/>
      <c r="I482" s="26"/>
    </row>
    <row r="483" spans="1:10" x14ac:dyDescent="0.25">
      <c r="A483" s="80">
        <f>IF(OR($A481=0,$N$3=0),,$N$3*$A481/100)</f>
        <v>0</v>
      </c>
      <c r="B483" s="24"/>
      <c r="C483" s="24"/>
      <c r="D483" s="24"/>
      <c r="E483" s="24"/>
      <c r="F483" s="24"/>
      <c r="G483" s="90" t="s">
        <v>211</v>
      </c>
      <c r="H483" s="91"/>
      <c r="I483" s="39" t="s">
        <v>195</v>
      </c>
    </row>
    <row r="484" spans="1:10" x14ac:dyDescent="0.25">
      <c r="A484" s="80" t="str">
        <f>IF(AND($P$11 &lt;&gt;"",$P$11&lt;=$J473),IF(OR($A479=0,$N$3=0),0,$A483-20*$A483/100),IF(AND($P$9 &lt;&gt;"",$P$9&lt;=$J473),IF(OR($A479=0,$N$3=0),0,$A483-10*$A483/100),""))</f>
        <v/>
      </c>
      <c r="B484" s="24"/>
      <c r="C484" s="11" t="str">
        <f>IF(AND($P$11 &lt;&gt;"",$P$11&lt;=$J473),$N$11&amp;" Degression",IF(AND($P$9 &lt;&gt;"",$P$9&lt;=$J473),$N$9&amp;" Degression",""))</f>
        <v/>
      </c>
      <c r="D484" s="24"/>
      <c r="E484" s="24"/>
      <c r="F484" s="24"/>
      <c r="G484" s="88" t="s">
        <v>210</v>
      </c>
      <c r="H484" s="89"/>
      <c r="I484" s="41" t="str">
        <f>J473&amp;". Rate ausgezahlt"</f>
        <v>35. Rate ausgezahlt</v>
      </c>
    </row>
    <row r="485" spans="1:10" x14ac:dyDescent="0.25">
      <c r="A485" s="81">
        <f>IF(OR($A479=0,$N$3=0),,IF($A484="",$A483,$A484))</f>
        <v>0</v>
      </c>
      <c r="B485" s="81"/>
      <c r="C485" s="85" t="str">
        <f>IF($A485&lt;=$I477,"Förderung","Förderung, jedoch höchstens lt. Bescheid "&amp; $I477&amp;"€")</f>
        <v>Förderung</v>
      </c>
      <c r="D485" s="85"/>
      <c r="E485" s="85"/>
      <c r="F485" s="37"/>
      <c r="G485" s="86">
        <f>IF($A485&lt;=$I477,$A485, $I477)</f>
        <v>0</v>
      </c>
      <c r="H485" s="87"/>
      <c r="I485" s="47">
        <f>IF($N$5&gt;35,$I$37,0)</f>
        <v>0</v>
      </c>
    </row>
    <row r="486" spans="1:10" ht="15.75" thickBot="1" x14ac:dyDescent="0.3">
      <c r="A486" s="44"/>
      <c r="B486" s="44"/>
      <c r="C486" s="44"/>
      <c r="D486" s="44"/>
      <c r="E486" s="44"/>
      <c r="F486" s="44"/>
      <c r="G486" s="43"/>
      <c r="H486" s="44"/>
      <c r="I486" s="45"/>
    </row>
    <row r="487" spans="1:10" x14ac:dyDescent="0.25">
      <c r="A487" s="22" t="str">
        <f>J487&amp;". Monat"</f>
        <v>36. Monat</v>
      </c>
      <c r="B487" s="22"/>
      <c r="C487" s="22"/>
      <c r="D487" s="22"/>
      <c r="E487" s="22"/>
      <c r="F487" s="22"/>
      <c r="G487" s="22"/>
      <c r="H487" s="22"/>
      <c r="I487" s="23"/>
      <c r="J487">
        <v>36</v>
      </c>
    </row>
    <row r="488" spans="1:10" x14ac:dyDescent="0.25">
      <c r="A488" s="24"/>
      <c r="B488" s="24"/>
      <c r="C488" s="25" t="s">
        <v>205</v>
      </c>
      <c r="D488" s="11"/>
      <c r="E488" s="66">
        <f>(DATE(YEAR($E474),MONTH($E474)+1,1))</f>
        <v>1066</v>
      </c>
      <c r="F488" s="14" t="s">
        <v>6</v>
      </c>
      <c r="G488" s="66">
        <f>EOMONTH($E488,0)</f>
        <v>1096</v>
      </c>
      <c r="H488" s="24"/>
      <c r="I488" s="26"/>
    </row>
    <row r="489" spans="1:10" x14ac:dyDescent="0.25">
      <c r="A489" s="24"/>
      <c r="B489" s="24"/>
      <c r="C489" s="24"/>
      <c r="D489" s="24"/>
      <c r="E489" s="24"/>
      <c r="F489" s="24"/>
      <c r="G489" s="24"/>
      <c r="H489" s="24"/>
      <c r="I489" s="26"/>
    </row>
    <row r="490" spans="1:10" ht="45" x14ac:dyDescent="0.25">
      <c r="A490" s="27" t="s">
        <v>227</v>
      </c>
      <c r="B490" s="28" t="s">
        <v>197</v>
      </c>
      <c r="C490" s="27" t="s">
        <v>199</v>
      </c>
      <c r="D490" s="28" t="s">
        <v>198</v>
      </c>
      <c r="E490" s="27" t="s">
        <v>202</v>
      </c>
      <c r="F490" s="27" t="s">
        <v>200</v>
      </c>
      <c r="G490" s="28" t="s">
        <v>191</v>
      </c>
      <c r="H490" s="29"/>
      <c r="I490" s="30" t="s">
        <v>192</v>
      </c>
    </row>
    <row r="491" spans="1:10" ht="15.75" thickBot="1" x14ac:dyDescent="0.3">
      <c r="A491" s="10"/>
      <c r="B491" s="31"/>
      <c r="C491" s="14">
        <v>30</v>
      </c>
      <c r="D491" s="11"/>
      <c r="E491" s="14">
        <v>30</v>
      </c>
      <c r="F491" s="11"/>
      <c r="G491" s="32">
        <f>$A491</f>
        <v>0</v>
      </c>
      <c r="H491" s="31"/>
      <c r="I491" s="46">
        <f>IF($P$13=0,0,IF($N$5&gt;=12,$P$13,0))</f>
        <v>0</v>
      </c>
    </row>
    <row r="492" spans="1:10" x14ac:dyDescent="0.25">
      <c r="A492" s="24"/>
      <c r="B492" s="24"/>
      <c r="C492" s="24"/>
      <c r="D492" s="24"/>
      <c r="E492" s="24"/>
      <c r="F492" s="24"/>
      <c r="G492" s="24"/>
      <c r="H492" s="24"/>
      <c r="I492" s="26"/>
    </row>
    <row r="493" spans="1:10" x14ac:dyDescent="0.25">
      <c r="A493" s="31">
        <f>$G491</f>
        <v>0</v>
      </c>
      <c r="B493" s="33"/>
      <c r="C493" s="24" t="s">
        <v>193</v>
      </c>
      <c r="D493" s="24"/>
      <c r="E493" s="24"/>
      <c r="F493" s="24"/>
      <c r="G493" s="24"/>
      <c r="H493" s="24"/>
      <c r="I493" s="26"/>
    </row>
    <row r="494" spans="1:10" x14ac:dyDescent="0.25">
      <c r="A494" s="34">
        <f>A493*20/100</f>
        <v>0</v>
      </c>
      <c r="B494" s="35"/>
      <c r="C494" s="36" t="s">
        <v>194</v>
      </c>
      <c r="D494" s="36"/>
      <c r="E494" s="36"/>
      <c r="F494" s="24"/>
      <c r="G494" s="24"/>
      <c r="H494" s="24"/>
      <c r="I494" s="26"/>
    </row>
    <row r="495" spans="1:10" x14ac:dyDescent="0.25">
      <c r="A495" s="37">
        <f>A493+A494</f>
        <v>0</v>
      </c>
      <c r="B495" s="37"/>
      <c r="C495" s="38"/>
      <c r="D495" s="38"/>
      <c r="E495" s="24"/>
      <c r="F495" s="24"/>
      <c r="G495" s="24"/>
      <c r="H495" s="24"/>
      <c r="I495" s="26"/>
    </row>
    <row r="496" spans="1:10" ht="15.75" thickBot="1" x14ac:dyDescent="0.3">
      <c r="A496" s="40" t="str">
        <f>IF($N$3 =0,"erfassen",$N$3)</f>
        <v>erfassen</v>
      </c>
      <c r="B496" s="36"/>
      <c r="C496" s="36" t="s">
        <v>212</v>
      </c>
      <c r="D496" s="36"/>
      <c r="E496" s="36"/>
      <c r="F496" s="24"/>
      <c r="G496" s="24"/>
      <c r="H496" s="24"/>
      <c r="I496" s="26"/>
    </row>
    <row r="497" spans="1:9" x14ac:dyDescent="0.25">
      <c r="A497" s="80">
        <f>IF(OR($A495=0,$N$3=0),,$N$3*$A495/100)</f>
        <v>0</v>
      </c>
      <c r="B497" s="24"/>
      <c r="C497" s="24"/>
      <c r="D497" s="24"/>
      <c r="E497" s="24"/>
      <c r="F497" s="24"/>
      <c r="G497" s="90" t="s">
        <v>211</v>
      </c>
      <c r="H497" s="91"/>
      <c r="I497" s="39" t="s">
        <v>195</v>
      </c>
    </row>
    <row r="498" spans="1:9" x14ac:dyDescent="0.25">
      <c r="A498" s="80" t="str">
        <f>IF(AND($P$11 &lt;&gt;"",$P$11&lt;=$J487),IF(OR($A493=0,$N$3=0),0,$A497-20*$A497/100),IF(AND($P$9 &lt;&gt;"",$P$9&lt;=$J487),IF(OR($A493=0,$N$3=0),0,$A497-10*$A497/100),""))</f>
        <v/>
      </c>
      <c r="B498" s="24"/>
      <c r="C498" s="11" t="str">
        <f>IF(AND($P$11 &lt;&gt;"",$P$11&lt;=$J487),$N$11&amp;" Degression",IF(AND($P$9 &lt;&gt;"",$P$9&lt;=$J487),$N$9&amp;" Degression",""))</f>
        <v/>
      </c>
      <c r="D498" s="24"/>
      <c r="E498" s="24"/>
      <c r="F498" s="24"/>
      <c r="G498" s="88" t="s">
        <v>210</v>
      </c>
      <c r="H498" s="89"/>
      <c r="I498" s="41" t="str">
        <f>J487&amp;". Rate ausgezahlt"</f>
        <v>36. Rate ausgezahlt</v>
      </c>
    </row>
    <row r="499" spans="1:9" x14ac:dyDescent="0.25">
      <c r="A499" s="81">
        <f>IF(OR($A493=0,$N$3=0),,IF($A498="",$A497,$A498))</f>
        <v>0</v>
      </c>
      <c r="B499" s="81"/>
      <c r="C499" s="85" t="str">
        <f>IF($A499&lt;=$I491,"Förderung","Förderung, jedoch höchstens lt. Bescheid "&amp; $I491&amp;"€")</f>
        <v>Förderung</v>
      </c>
      <c r="D499" s="85"/>
      <c r="E499" s="85"/>
      <c r="F499" s="37"/>
      <c r="G499" s="86">
        <f>IF($A499&lt;=$I491,$A499, $I491)</f>
        <v>0</v>
      </c>
      <c r="H499" s="87"/>
      <c r="I499" s="47">
        <f>IF($N$5&gt;36,$I$37,0)</f>
        <v>0</v>
      </c>
    </row>
    <row r="500" spans="1:9" ht="15.75" thickBot="1" x14ac:dyDescent="0.3">
      <c r="A500" s="44"/>
      <c r="B500" s="44"/>
      <c r="C500" s="44"/>
      <c r="D500" s="44"/>
      <c r="E500" s="44"/>
      <c r="F500" s="44"/>
      <c r="G500" s="43"/>
      <c r="H500" s="44"/>
      <c r="I500" s="45"/>
    </row>
  </sheetData>
  <sheetProtection sheet="1" selectLockedCells="1"/>
  <mergeCells count="157">
    <mergeCell ref="G127:H127"/>
    <mergeCell ref="G137:H137"/>
    <mergeCell ref="G89:H89"/>
    <mergeCell ref="G90:H90"/>
    <mergeCell ref="G91:H91"/>
    <mergeCell ref="G101:H101"/>
    <mergeCell ref="G102:H102"/>
    <mergeCell ref="G103:H103"/>
    <mergeCell ref="G113:H113"/>
    <mergeCell ref="G114:H114"/>
    <mergeCell ref="G115:H115"/>
    <mergeCell ref="K2:Q2"/>
    <mergeCell ref="D14:E14"/>
    <mergeCell ref="E16:I18"/>
    <mergeCell ref="K3:L3"/>
    <mergeCell ref="K5:L5"/>
    <mergeCell ref="G53:H53"/>
    <mergeCell ref="B4:G4"/>
    <mergeCell ref="B5:G5"/>
    <mergeCell ref="B6:G6"/>
    <mergeCell ref="B8:G8"/>
    <mergeCell ref="B9:G9"/>
    <mergeCell ref="C55:E55"/>
    <mergeCell ref="C67:E67"/>
    <mergeCell ref="C79:E79"/>
    <mergeCell ref="C91:E91"/>
    <mergeCell ref="C103:E103"/>
    <mergeCell ref="A1:I1"/>
    <mergeCell ref="A2:I2"/>
    <mergeCell ref="C31:E31"/>
    <mergeCell ref="A18:B18"/>
    <mergeCell ref="G43:H43"/>
    <mergeCell ref="C43:E43"/>
    <mergeCell ref="G29:H29"/>
    <mergeCell ref="G30:H30"/>
    <mergeCell ref="G31:H31"/>
    <mergeCell ref="G41:H41"/>
    <mergeCell ref="G42:H42"/>
    <mergeCell ref="G54:H54"/>
    <mergeCell ref="G55:H55"/>
    <mergeCell ref="G65:H65"/>
    <mergeCell ref="G66:H66"/>
    <mergeCell ref="G67:H67"/>
    <mergeCell ref="G77:H77"/>
    <mergeCell ref="G78:H78"/>
    <mergeCell ref="G79:H79"/>
    <mergeCell ref="G189:H189"/>
    <mergeCell ref="G190:H190"/>
    <mergeCell ref="C191:E191"/>
    <mergeCell ref="G191:H191"/>
    <mergeCell ref="G203:H203"/>
    <mergeCell ref="C115:E115"/>
    <mergeCell ref="C127:E127"/>
    <mergeCell ref="C139:E139"/>
    <mergeCell ref="C151:E151"/>
    <mergeCell ref="C163:E163"/>
    <mergeCell ref="G138:H138"/>
    <mergeCell ref="G139:H139"/>
    <mergeCell ref="G149:H149"/>
    <mergeCell ref="G175:H175"/>
    <mergeCell ref="G176:H176"/>
    <mergeCell ref="C177:E177"/>
    <mergeCell ref="G177:H177"/>
    <mergeCell ref="G150:H150"/>
    <mergeCell ref="G151:H151"/>
    <mergeCell ref="G161:H161"/>
    <mergeCell ref="G162:H162"/>
    <mergeCell ref="G163:H163"/>
    <mergeCell ref="G125:H125"/>
    <mergeCell ref="G126:H126"/>
    <mergeCell ref="C219:E219"/>
    <mergeCell ref="G219:H219"/>
    <mergeCell ref="G231:H231"/>
    <mergeCell ref="G232:H232"/>
    <mergeCell ref="C233:E233"/>
    <mergeCell ref="G233:H233"/>
    <mergeCell ref="G204:H204"/>
    <mergeCell ref="C205:E205"/>
    <mergeCell ref="G205:H205"/>
    <mergeCell ref="G217:H217"/>
    <mergeCell ref="G218:H218"/>
    <mergeCell ref="G260:H260"/>
    <mergeCell ref="C261:E261"/>
    <mergeCell ref="G261:H261"/>
    <mergeCell ref="G273:H273"/>
    <mergeCell ref="G274:H274"/>
    <mergeCell ref="G245:H245"/>
    <mergeCell ref="G246:H246"/>
    <mergeCell ref="C247:E247"/>
    <mergeCell ref="G247:H247"/>
    <mergeCell ref="G259:H259"/>
    <mergeCell ref="G301:H301"/>
    <mergeCell ref="G302:H302"/>
    <mergeCell ref="C303:E303"/>
    <mergeCell ref="G303:H303"/>
    <mergeCell ref="G315:H315"/>
    <mergeCell ref="C275:E275"/>
    <mergeCell ref="G275:H275"/>
    <mergeCell ref="G287:H287"/>
    <mergeCell ref="G288:H288"/>
    <mergeCell ref="C289:E289"/>
    <mergeCell ref="G289:H289"/>
    <mergeCell ref="C331:E331"/>
    <mergeCell ref="G331:H331"/>
    <mergeCell ref="G343:H343"/>
    <mergeCell ref="G344:H344"/>
    <mergeCell ref="C345:E345"/>
    <mergeCell ref="G345:H345"/>
    <mergeCell ref="G316:H316"/>
    <mergeCell ref="C317:E317"/>
    <mergeCell ref="G317:H317"/>
    <mergeCell ref="G329:H329"/>
    <mergeCell ref="G330:H330"/>
    <mergeCell ref="G372:H372"/>
    <mergeCell ref="C373:E373"/>
    <mergeCell ref="G373:H373"/>
    <mergeCell ref="G385:H385"/>
    <mergeCell ref="G386:H386"/>
    <mergeCell ref="G357:H357"/>
    <mergeCell ref="G358:H358"/>
    <mergeCell ref="C359:E359"/>
    <mergeCell ref="G359:H359"/>
    <mergeCell ref="G371:H371"/>
    <mergeCell ref="G413:H413"/>
    <mergeCell ref="G414:H414"/>
    <mergeCell ref="C415:E415"/>
    <mergeCell ref="G415:H415"/>
    <mergeCell ref="G427:H427"/>
    <mergeCell ref="C387:E387"/>
    <mergeCell ref="G387:H387"/>
    <mergeCell ref="G399:H399"/>
    <mergeCell ref="G400:H400"/>
    <mergeCell ref="C401:E401"/>
    <mergeCell ref="G401:H401"/>
    <mergeCell ref="C443:E443"/>
    <mergeCell ref="G443:H443"/>
    <mergeCell ref="G455:H455"/>
    <mergeCell ref="G456:H456"/>
    <mergeCell ref="C457:E457"/>
    <mergeCell ref="G457:H457"/>
    <mergeCell ref="G428:H428"/>
    <mergeCell ref="C429:E429"/>
    <mergeCell ref="G429:H429"/>
    <mergeCell ref="G441:H441"/>
    <mergeCell ref="G442:H442"/>
    <mergeCell ref="C499:E499"/>
    <mergeCell ref="G499:H499"/>
    <mergeCell ref="G484:H484"/>
    <mergeCell ref="C485:E485"/>
    <mergeCell ref="G485:H485"/>
    <mergeCell ref="G497:H497"/>
    <mergeCell ref="G498:H498"/>
    <mergeCell ref="G469:H469"/>
    <mergeCell ref="G470:H470"/>
    <mergeCell ref="C471:E471"/>
    <mergeCell ref="G471:H471"/>
    <mergeCell ref="G483:H483"/>
  </mergeCells>
  <conditionalFormatting sqref="N7">
    <cfRule type="cellIs" dxfId="220" priority="234" operator="equal">
      <formula>0</formula>
    </cfRule>
  </conditionalFormatting>
  <conditionalFormatting sqref="P7">
    <cfRule type="cellIs" dxfId="219" priority="233" operator="equal">
      <formula>0</formula>
    </cfRule>
  </conditionalFormatting>
  <conditionalFormatting sqref="N3">
    <cfRule type="cellIs" dxfId="218" priority="232" operator="equal">
      <formula>0</formula>
    </cfRule>
  </conditionalFormatting>
  <conditionalFormatting sqref="N5">
    <cfRule type="cellIs" dxfId="217" priority="231" operator="equal">
      <formula>0</formula>
    </cfRule>
  </conditionalFormatting>
  <conditionalFormatting sqref="P13">
    <cfRule type="cellIs" dxfId="216" priority="230" operator="equal">
      <formula>0</formula>
    </cfRule>
  </conditionalFormatting>
  <conditionalFormatting sqref="G22">
    <cfRule type="cellIs" dxfId="215" priority="223" operator="equal">
      <formula>0</formula>
    </cfRule>
  </conditionalFormatting>
  <conditionalFormatting sqref="A25">
    <cfRule type="cellIs" dxfId="214" priority="222" operator="equal">
      <formula>0</formula>
    </cfRule>
  </conditionalFormatting>
  <conditionalFormatting sqref="E34">
    <cfRule type="cellIs" dxfId="213" priority="235" operator="equal">
      <formula>0</formula>
    </cfRule>
  </conditionalFormatting>
  <conditionalFormatting sqref="G34">
    <cfRule type="cellIs" dxfId="212" priority="218" operator="equal">
      <formula>0</formula>
    </cfRule>
  </conditionalFormatting>
  <conditionalFormatting sqref="A37">
    <cfRule type="cellIs" dxfId="211" priority="217" operator="equal">
      <formula>0</formula>
    </cfRule>
  </conditionalFormatting>
  <conditionalFormatting sqref="E46">
    <cfRule type="cellIs" dxfId="210" priority="236" operator="equal">
      <formula>0</formula>
    </cfRule>
  </conditionalFormatting>
  <conditionalFormatting sqref="G46">
    <cfRule type="cellIs" dxfId="209" priority="215" operator="equal">
      <formula>0</formula>
    </cfRule>
  </conditionalFormatting>
  <conditionalFormatting sqref="A49">
    <cfRule type="cellIs" dxfId="208" priority="214" operator="equal">
      <formula>0</formula>
    </cfRule>
  </conditionalFormatting>
  <conditionalFormatting sqref="E58">
    <cfRule type="cellIs" dxfId="207" priority="237" operator="equal">
      <formula>0</formula>
    </cfRule>
  </conditionalFormatting>
  <conditionalFormatting sqref="G58">
    <cfRule type="cellIs" dxfId="206" priority="212" operator="equal">
      <formula>0</formula>
    </cfRule>
  </conditionalFormatting>
  <conditionalFormatting sqref="A61">
    <cfRule type="cellIs" dxfId="205" priority="211" operator="equal">
      <formula>0</formula>
    </cfRule>
  </conditionalFormatting>
  <conditionalFormatting sqref="E70">
    <cfRule type="cellIs" dxfId="204" priority="238" operator="equal">
      <formula>0</formula>
    </cfRule>
  </conditionalFormatting>
  <conditionalFormatting sqref="G70">
    <cfRule type="cellIs" dxfId="203" priority="209" operator="equal">
      <formula>0</formula>
    </cfRule>
  </conditionalFormatting>
  <conditionalFormatting sqref="A73">
    <cfRule type="cellIs" dxfId="202" priority="208" operator="equal">
      <formula>0</formula>
    </cfRule>
  </conditionalFormatting>
  <conditionalFormatting sqref="E82">
    <cfRule type="cellIs" dxfId="201" priority="239" operator="equal">
      <formula>0</formula>
    </cfRule>
  </conditionalFormatting>
  <conditionalFormatting sqref="G82">
    <cfRule type="cellIs" dxfId="200" priority="201" operator="equal">
      <formula>0</formula>
    </cfRule>
  </conditionalFormatting>
  <conditionalFormatting sqref="A85">
    <cfRule type="cellIs" dxfId="199" priority="200" operator="equal">
      <formula>0</formula>
    </cfRule>
  </conditionalFormatting>
  <conditionalFormatting sqref="E94">
    <cfRule type="cellIs" dxfId="198" priority="240" operator="equal">
      <formula>0</formula>
    </cfRule>
  </conditionalFormatting>
  <conditionalFormatting sqref="G94">
    <cfRule type="cellIs" dxfId="197" priority="197" operator="equal">
      <formula>0</formula>
    </cfRule>
  </conditionalFormatting>
  <conditionalFormatting sqref="A97">
    <cfRule type="cellIs" dxfId="196" priority="196" operator="equal">
      <formula>0</formula>
    </cfRule>
  </conditionalFormatting>
  <conditionalFormatting sqref="E106">
    <cfRule type="cellIs" dxfId="195" priority="241" operator="equal">
      <formula>0</formula>
    </cfRule>
  </conditionalFormatting>
  <conditionalFormatting sqref="G106">
    <cfRule type="cellIs" dxfId="194" priority="193" operator="equal">
      <formula>0</formula>
    </cfRule>
  </conditionalFormatting>
  <conditionalFormatting sqref="A109">
    <cfRule type="cellIs" dxfId="193" priority="192" operator="equal">
      <formula>0</formula>
    </cfRule>
  </conditionalFormatting>
  <conditionalFormatting sqref="E118">
    <cfRule type="cellIs" dxfId="192" priority="242" operator="equal">
      <formula>0</formula>
    </cfRule>
  </conditionalFormatting>
  <conditionalFormatting sqref="G118">
    <cfRule type="cellIs" dxfId="191" priority="189" operator="equal">
      <formula>0</formula>
    </cfRule>
  </conditionalFormatting>
  <conditionalFormatting sqref="A121">
    <cfRule type="cellIs" dxfId="190" priority="188" operator="equal">
      <formula>0</formula>
    </cfRule>
  </conditionalFormatting>
  <conditionalFormatting sqref="E130">
    <cfRule type="cellIs" dxfId="189" priority="243" operator="equal">
      <formula>0</formula>
    </cfRule>
  </conditionalFormatting>
  <conditionalFormatting sqref="G130">
    <cfRule type="cellIs" dxfId="188" priority="185" operator="equal">
      <formula>0</formula>
    </cfRule>
  </conditionalFormatting>
  <conditionalFormatting sqref="A133">
    <cfRule type="cellIs" dxfId="187" priority="184" operator="equal">
      <formula>0</formula>
    </cfRule>
  </conditionalFormatting>
  <conditionalFormatting sqref="E142">
    <cfRule type="cellIs" dxfId="186" priority="244" operator="equal">
      <formula>0</formula>
    </cfRule>
  </conditionalFormatting>
  <conditionalFormatting sqref="G142">
    <cfRule type="cellIs" dxfId="185" priority="181" operator="equal">
      <formula>0</formula>
    </cfRule>
  </conditionalFormatting>
  <conditionalFormatting sqref="A145">
    <cfRule type="cellIs" dxfId="184" priority="180" operator="equal">
      <formula>0</formula>
    </cfRule>
  </conditionalFormatting>
  <conditionalFormatting sqref="E154">
    <cfRule type="cellIs" dxfId="183" priority="245" operator="equal">
      <formula>0</formula>
    </cfRule>
  </conditionalFormatting>
  <conditionalFormatting sqref="G154">
    <cfRule type="cellIs" dxfId="182" priority="177" operator="equal">
      <formula>0</formula>
    </cfRule>
  </conditionalFormatting>
  <conditionalFormatting sqref="A157">
    <cfRule type="cellIs" dxfId="181" priority="176" operator="equal">
      <formula>0</formula>
    </cfRule>
  </conditionalFormatting>
  <conditionalFormatting sqref="A33:I44">
    <cfRule type="expression" dxfId="180" priority="216">
      <formula>$N$5&lt;2</formula>
    </cfRule>
  </conditionalFormatting>
  <conditionalFormatting sqref="A45:I56">
    <cfRule type="expression" dxfId="179" priority="213">
      <formula>$N$5&lt;3</formula>
    </cfRule>
  </conditionalFormatting>
  <conditionalFormatting sqref="A57:I68">
    <cfRule type="expression" dxfId="178" priority="210">
      <formula>$N$5&lt;4</formula>
    </cfRule>
  </conditionalFormatting>
  <conditionalFormatting sqref="A69:I80">
    <cfRule type="expression" dxfId="177" priority="207">
      <formula>$N$5&lt;5</formula>
    </cfRule>
  </conditionalFormatting>
  <conditionalFormatting sqref="A81:I92">
    <cfRule type="expression" dxfId="176" priority="199">
      <formula>$N$5&lt;6</formula>
    </cfRule>
  </conditionalFormatting>
  <conditionalFormatting sqref="A93:I104">
    <cfRule type="expression" dxfId="175" priority="195">
      <formula>$N$5&lt;7</formula>
    </cfRule>
  </conditionalFormatting>
  <conditionalFormatting sqref="A105:I116">
    <cfRule type="expression" dxfId="174" priority="191">
      <formula>$N$5&lt;8</formula>
    </cfRule>
  </conditionalFormatting>
  <conditionalFormatting sqref="A117:I128">
    <cfRule type="expression" dxfId="173" priority="187">
      <formula>$N$5&lt;9</formula>
    </cfRule>
  </conditionalFormatting>
  <conditionalFormatting sqref="A129:I140">
    <cfRule type="expression" dxfId="172" priority="183">
      <formula>$N$5&lt;10</formula>
    </cfRule>
  </conditionalFormatting>
  <conditionalFormatting sqref="A141:I152">
    <cfRule type="expression" dxfId="171" priority="179">
      <formula>$N$5&lt;11</formula>
    </cfRule>
  </conditionalFormatting>
  <conditionalFormatting sqref="A153:I164">
    <cfRule type="expression" dxfId="170" priority="175">
      <formula>$N$5&lt;12</formula>
    </cfRule>
  </conditionalFormatting>
  <conditionalFormatting sqref="A60">
    <cfRule type="expression" dxfId="169" priority="173">
      <formula>$N$5&lt;3</formula>
    </cfRule>
  </conditionalFormatting>
  <conditionalFormatting sqref="A72">
    <cfRule type="expression" dxfId="168" priority="172">
      <formula>$N$5&lt;3</formula>
    </cfRule>
  </conditionalFormatting>
  <conditionalFormatting sqref="A84">
    <cfRule type="expression" dxfId="167" priority="171">
      <formula>$N$5&lt;3</formula>
    </cfRule>
  </conditionalFormatting>
  <conditionalFormatting sqref="A96">
    <cfRule type="expression" dxfId="166" priority="170">
      <formula>$N$5&lt;3</formula>
    </cfRule>
  </conditionalFormatting>
  <conditionalFormatting sqref="A108">
    <cfRule type="expression" dxfId="165" priority="169">
      <formula>$N$5&lt;3</formula>
    </cfRule>
  </conditionalFormatting>
  <conditionalFormatting sqref="A120">
    <cfRule type="expression" dxfId="164" priority="168">
      <formula>$N$5&lt;3</formula>
    </cfRule>
  </conditionalFormatting>
  <conditionalFormatting sqref="A132">
    <cfRule type="expression" dxfId="163" priority="167">
      <formula>$N$5&lt;3</formula>
    </cfRule>
  </conditionalFormatting>
  <conditionalFormatting sqref="A144">
    <cfRule type="expression" dxfId="162" priority="166">
      <formula>$N$5&lt;3</formula>
    </cfRule>
  </conditionalFormatting>
  <conditionalFormatting sqref="A156">
    <cfRule type="expression" dxfId="161" priority="165">
      <formula>$N$5&lt;3</formula>
    </cfRule>
  </conditionalFormatting>
  <conditionalFormatting sqref="A18:C18">
    <cfRule type="expression" dxfId="160" priority="163">
      <formula>$C$18&gt;=0</formula>
    </cfRule>
    <cfRule type="expression" dxfId="159" priority="164">
      <formula>$C$18&lt;0</formula>
    </cfRule>
  </conditionalFormatting>
  <conditionalFormatting sqref="I55">
    <cfRule type="expression" dxfId="158" priority="160">
      <formula>$N$5&lt;2</formula>
    </cfRule>
  </conditionalFormatting>
  <conditionalFormatting sqref="I67">
    <cfRule type="expression" dxfId="157" priority="159">
      <formula>$N$5&lt;2</formula>
    </cfRule>
  </conditionalFormatting>
  <conditionalFormatting sqref="I79">
    <cfRule type="expression" dxfId="156" priority="158">
      <formula>$N$5&lt;2</formula>
    </cfRule>
  </conditionalFormatting>
  <conditionalFormatting sqref="I91">
    <cfRule type="expression" dxfId="155" priority="157">
      <formula>$N$5&lt;2</formula>
    </cfRule>
  </conditionalFormatting>
  <conditionalFormatting sqref="I103">
    <cfRule type="expression" dxfId="154" priority="156">
      <formula>$N$5&lt;2</formula>
    </cfRule>
  </conditionalFormatting>
  <conditionalFormatting sqref="I115">
    <cfRule type="expression" dxfId="153" priority="155">
      <formula>$N$5&lt;2</formula>
    </cfRule>
  </conditionalFormatting>
  <conditionalFormatting sqref="I127">
    <cfRule type="expression" dxfId="152" priority="154">
      <formula>$N$5&lt;2</formula>
    </cfRule>
  </conditionalFormatting>
  <conditionalFormatting sqref="I139">
    <cfRule type="expression" dxfId="151" priority="153">
      <formula>$N$5&lt;2</formula>
    </cfRule>
  </conditionalFormatting>
  <conditionalFormatting sqref="I151">
    <cfRule type="expression" dxfId="150" priority="152">
      <formula>$N$5&lt;2</formula>
    </cfRule>
  </conditionalFormatting>
  <conditionalFormatting sqref="I163">
    <cfRule type="expression" dxfId="149" priority="151">
      <formula>$N$5&lt;2</formula>
    </cfRule>
  </conditionalFormatting>
  <conditionalFormatting sqref="P9">
    <cfRule type="expression" dxfId="148" priority="150">
      <formula>AND($N$9&lt;&gt;"",$P$9="")</formula>
    </cfRule>
  </conditionalFormatting>
  <conditionalFormatting sqref="P11">
    <cfRule type="expression" dxfId="147" priority="149">
      <formula>AND($N$11&lt;&gt;"",$P$11="")</formula>
    </cfRule>
  </conditionalFormatting>
  <conditionalFormatting sqref="E166">
    <cfRule type="cellIs" dxfId="146" priority="148" operator="equal">
      <formula>0</formula>
    </cfRule>
  </conditionalFormatting>
  <conditionalFormatting sqref="G166">
    <cfRule type="cellIs" dxfId="145" priority="147" operator="equal">
      <formula>0</formula>
    </cfRule>
  </conditionalFormatting>
  <conditionalFormatting sqref="A169">
    <cfRule type="cellIs" dxfId="144" priority="146" operator="equal">
      <formula>0</formula>
    </cfRule>
  </conditionalFormatting>
  <conditionalFormatting sqref="A168">
    <cfRule type="expression" dxfId="143" priority="144">
      <formula>$N$5&lt;3</formula>
    </cfRule>
  </conditionalFormatting>
  <conditionalFormatting sqref="I177">
    <cfRule type="expression" dxfId="142" priority="143">
      <formula>$N$5&lt;2</formula>
    </cfRule>
  </conditionalFormatting>
  <conditionalFormatting sqref="A179:I192">
    <cfRule type="expression" dxfId="141" priority="138">
      <formula>$N$5&lt;14</formula>
    </cfRule>
  </conditionalFormatting>
  <conditionalFormatting sqref="E180">
    <cfRule type="cellIs" dxfId="140" priority="142" operator="equal">
      <formula>0</formula>
    </cfRule>
  </conditionalFormatting>
  <conditionalFormatting sqref="G180">
    <cfRule type="cellIs" dxfId="139" priority="141" operator="equal">
      <formula>0</formula>
    </cfRule>
  </conditionalFormatting>
  <conditionalFormatting sqref="A183">
    <cfRule type="cellIs" dxfId="138" priority="140" operator="equal">
      <formula>0</formula>
    </cfRule>
  </conditionalFormatting>
  <conditionalFormatting sqref="A182">
    <cfRule type="expression" dxfId="137" priority="139">
      <formula>$N$5&lt;3</formula>
    </cfRule>
  </conditionalFormatting>
  <conditionalFormatting sqref="I191">
    <cfRule type="expression" dxfId="136" priority="137">
      <formula>$N$5&lt;2</formula>
    </cfRule>
  </conditionalFormatting>
  <conditionalFormatting sqref="A193:I206">
    <cfRule type="expression" dxfId="135" priority="131">
      <formula>$N$5&lt;15</formula>
    </cfRule>
  </conditionalFormatting>
  <conditionalFormatting sqref="E194">
    <cfRule type="cellIs" dxfId="134" priority="136" operator="equal">
      <formula>0</formula>
    </cfRule>
  </conditionalFormatting>
  <conditionalFormatting sqref="G194">
    <cfRule type="cellIs" dxfId="133" priority="135" operator="equal">
      <formula>0</formula>
    </cfRule>
  </conditionalFormatting>
  <conditionalFormatting sqref="A197">
    <cfRule type="cellIs" dxfId="132" priority="134" operator="equal">
      <formula>0</formula>
    </cfRule>
  </conditionalFormatting>
  <conditionalFormatting sqref="A196">
    <cfRule type="expression" dxfId="131" priority="133">
      <formula>$N$5&lt;3</formula>
    </cfRule>
  </conditionalFormatting>
  <conditionalFormatting sqref="I205">
    <cfRule type="expression" dxfId="130" priority="132">
      <formula>$N$5&lt;2</formula>
    </cfRule>
  </conditionalFormatting>
  <conditionalFormatting sqref="A207:I220">
    <cfRule type="expression" dxfId="129" priority="125">
      <formula>$N$5&lt;16</formula>
    </cfRule>
  </conditionalFormatting>
  <conditionalFormatting sqref="E208">
    <cfRule type="cellIs" dxfId="128" priority="130" operator="equal">
      <formula>0</formula>
    </cfRule>
  </conditionalFormatting>
  <conditionalFormatting sqref="G208">
    <cfRule type="cellIs" dxfId="127" priority="129" operator="equal">
      <formula>0</formula>
    </cfRule>
  </conditionalFormatting>
  <conditionalFormatting sqref="A211">
    <cfRule type="cellIs" dxfId="126" priority="128" operator="equal">
      <formula>0</formula>
    </cfRule>
  </conditionalFormatting>
  <conditionalFormatting sqref="A210">
    <cfRule type="expression" dxfId="125" priority="127">
      <formula>$N$5&lt;3</formula>
    </cfRule>
  </conditionalFormatting>
  <conditionalFormatting sqref="I219">
    <cfRule type="expression" dxfId="124" priority="126">
      <formula>$N$5&lt;2</formula>
    </cfRule>
  </conditionalFormatting>
  <conditionalFormatting sqref="A221:I234">
    <cfRule type="expression" dxfId="123" priority="119">
      <formula>$N$5&lt;17</formula>
    </cfRule>
  </conditionalFormatting>
  <conditionalFormatting sqref="E222">
    <cfRule type="cellIs" dxfId="122" priority="124" operator="equal">
      <formula>0</formula>
    </cfRule>
  </conditionalFormatting>
  <conditionalFormatting sqref="G222">
    <cfRule type="cellIs" dxfId="121" priority="123" operator="equal">
      <formula>0</formula>
    </cfRule>
  </conditionalFormatting>
  <conditionalFormatting sqref="A225">
    <cfRule type="cellIs" dxfId="120" priority="122" operator="equal">
      <formula>0</formula>
    </cfRule>
  </conditionalFormatting>
  <conditionalFormatting sqref="A224">
    <cfRule type="expression" dxfId="119" priority="121">
      <formula>$N$5&lt;3</formula>
    </cfRule>
  </conditionalFormatting>
  <conditionalFormatting sqref="I233">
    <cfRule type="expression" dxfId="118" priority="120">
      <formula>$N$5&lt;2</formula>
    </cfRule>
  </conditionalFormatting>
  <conditionalFormatting sqref="A235:I248">
    <cfRule type="expression" dxfId="117" priority="113">
      <formula>$N$5&lt;18</formula>
    </cfRule>
  </conditionalFormatting>
  <conditionalFormatting sqref="E236">
    <cfRule type="cellIs" dxfId="116" priority="118" operator="equal">
      <formula>0</formula>
    </cfRule>
  </conditionalFormatting>
  <conditionalFormatting sqref="G236">
    <cfRule type="cellIs" dxfId="115" priority="117" operator="equal">
      <formula>0</formula>
    </cfRule>
  </conditionalFormatting>
  <conditionalFormatting sqref="A239">
    <cfRule type="cellIs" dxfId="114" priority="116" operator="equal">
      <formula>0</formula>
    </cfRule>
  </conditionalFormatting>
  <conditionalFormatting sqref="A238">
    <cfRule type="expression" dxfId="113" priority="115">
      <formula>$N$5&lt;3</formula>
    </cfRule>
  </conditionalFormatting>
  <conditionalFormatting sqref="I247">
    <cfRule type="expression" dxfId="112" priority="114">
      <formula>$N$5&lt;2</formula>
    </cfRule>
  </conditionalFormatting>
  <conditionalFormatting sqref="A249:I262">
    <cfRule type="expression" dxfId="111" priority="107">
      <formula>$N$5&lt;19</formula>
    </cfRule>
  </conditionalFormatting>
  <conditionalFormatting sqref="E250">
    <cfRule type="cellIs" dxfId="110" priority="112" operator="equal">
      <formula>0</formula>
    </cfRule>
  </conditionalFormatting>
  <conditionalFormatting sqref="G250">
    <cfRule type="cellIs" dxfId="109" priority="111" operator="equal">
      <formula>0</formula>
    </cfRule>
  </conditionalFormatting>
  <conditionalFormatting sqref="A253">
    <cfRule type="cellIs" dxfId="108" priority="110" operator="equal">
      <formula>0</formula>
    </cfRule>
  </conditionalFormatting>
  <conditionalFormatting sqref="A252">
    <cfRule type="expression" dxfId="107" priority="109">
      <formula>$N$5&lt;3</formula>
    </cfRule>
  </conditionalFormatting>
  <conditionalFormatting sqref="I261">
    <cfRule type="expression" dxfId="106" priority="108">
      <formula>$N$5&lt;2</formula>
    </cfRule>
  </conditionalFormatting>
  <conditionalFormatting sqref="A263:I276">
    <cfRule type="expression" dxfId="105" priority="101">
      <formula>$N$5&lt;20</formula>
    </cfRule>
  </conditionalFormatting>
  <conditionalFormatting sqref="E264">
    <cfRule type="cellIs" dxfId="104" priority="106" operator="equal">
      <formula>0</formula>
    </cfRule>
  </conditionalFormatting>
  <conditionalFormatting sqref="G264">
    <cfRule type="cellIs" dxfId="103" priority="105" operator="equal">
      <formula>0</formula>
    </cfRule>
  </conditionalFormatting>
  <conditionalFormatting sqref="A267">
    <cfRule type="cellIs" dxfId="102" priority="104" operator="equal">
      <formula>0</formula>
    </cfRule>
  </conditionalFormatting>
  <conditionalFormatting sqref="A266">
    <cfRule type="expression" dxfId="101" priority="103">
      <formula>$N$5&lt;3</formula>
    </cfRule>
  </conditionalFormatting>
  <conditionalFormatting sqref="I275">
    <cfRule type="expression" dxfId="100" priority="102">
      <formula>$N$5&lt;2</formula>
    </cfRule>
  </conditionalFormatting>
  <conditionalFormatting sqref="A277:I290">
    <cfRule type="expression" dxfId="99" priority="95">
      <formula>$N$5&lt;21</formula>
    </cfRule>
  </conditionalFormatting>
  <conditionalFormatting sqref="E278">
    <cfRule type="cellIs" dxfId="98" priority="100" operator="equal">
      <formula>0</formula>
    </cfRule>
  </conditionalFormatting>
  <conditionalFormatting sqref="G278">
    <cfRule type="cellIs" dxfId="97" priority="99" operator="equal">
      <formula>0</formula>
    </cfRule>
  </conditionalFormatting>
  <conditionalFormatting sqref="A281">
    <cfRule type="cellIs" dxfId="96" priority="98" operator="equal">
      <formula>0</formula>
    </cfRule>
  </conditionalFormatting>
  <conditionalFormatting sqref="A280">
    <cfRule type="expression" dxfId="95" priority="97">
      <formula>$N$5&lt;3</formula>
    </cfRule>
  </conditionalFormatting>
  <conditionalFormatting sqref="I289">
    <cfRule type="expression" dxfId="94" priority="96">
      <formula>$N$5&lt;2</formula>
    </cfRule>
  </conditionalFormatting>
  <conditionalFormatting sqref="A291:I304">
    <cfRule type="expression" dxfId="93" priority="89">
      <formula>$N$5&lt;22</formula>
    </cfRule>
  </conditionalFormatting>
  <conditionalFormatting sqref="E292">
    <cfRule type="cellIs" dxfId="92" priority="94" operator="equal">
      <formula>0</formula>
    </cfRule>
  </conditionalFormatting>
  <conditionalFormatting sqref="G292">
    <cfRule type="cellIs" dxfId="91" priority="93" operator="equal">
      <formula>0</formula>
    </cfRule>
  </conditionalFormatting>
  <conditionalFormatting sqref="A295">
    <cfRule type="cellIs" dxfId="90" priority="92" operator="equal">
      <formula>0</formula>
    </cfRule>
  </conditionalFormatting>
  <conditionalFormatting sqref="A294">
    <cfRule type="expression" dxfId="89" priority="91">
      <formula>$N$5&lt;3</formula>
    </cfRule>
  </conditionalFormatting>
  <conditionalFormatting sqref="I303">
    <cfRule type="expression" dxfId="88" priority="90">
      <formula>$N$5&lt;2</formula>
    </cfRule>
  </conditionalFormatting>
  <conditionalFormatting sqref="A305:I318">
    <cfRule type="expression" dxfId="87" priority="83">
      <formula>$N$5&lt;23</formula>
    </cfRule>
  </conditionalFormatting>
  <conditionalFormatting sqref="E306">
    <cfRule type="cellIs" dxfId="86" priority="88" operator="equal">
      <formula>0</formula>
    </cfRule>
  </conditionalFormatting>
  <conditionalFormatting sqref="G306">
    <cfRule type="cellIs" dxfId="85" priority="87" operator="equal">
      <formula>0</formula>
    </cfRule>
  </conditionalFormatting>
  <conditionalFormatting sqref="A309">
    <cfRule type="cellIs" dxfId="84" priority="86" operator="equal">
      <formula>0</formula>
    </cfRule>
  </conditionalFormatting>
  <conditionalFormatting sqref="A308">
    <cfRule type="expression" dxfId="83" priority="85">
      <formula>$N$5&lt;3</formula>
    </cfRule>
  </conditionalFormatting>
  <conditionalFormatting sqref="I317">
    <cfRule type="expression" dxfId="82" priority="84">
      <formula>$N$5&lt;2</formula>
    </cfRule>
  </conditionalFormatting>
  <conditionalFormatting sqref="A319:I332">
    <cfRule type="expression" dxfId="81" priority="77">
      <formula>$N$5&lt;24</formula>
    </cfRule>
  </conditionalFormatting>
  <conditionalFormatting sqref="E320">
    <cfRule type="cellIs" dxfId="80" priority="82" operator="equal">
      <formula>0</formula>
    </cfRule>
  </conditionalFormatting>
  <conditionalFormatting sqref="G320">
    <cfRule type="cellIs" dxfId="79" priority="81" operator="equal">
      <formula>0</formula>
    </cfRule>
  </conditionalFormatting>
  <conditionalFormatting sqref="A323">
    <cfRule type="cellIs" dxfId="78" priority="80" operator="equal">
      <formula>0</formula>
    </cfRule>
  </conditionalFormatting>
  <conditionalFormatting sqref="A322">
    <cfRule type="expression" dxfId="77" priority="79">
      <formula>$N$5&lt;3</formula>
    </cfRule>
  </conditionalFormatting>
  <conditionalFormatting sqref="I331">
    <cfRule type="expression" dxfId="76" priority="78">
      <formula>$N$5&lt;2</formula>
    </cfRule>
  </conditionalFormatting>
  <conditionalFormatting sqref="A333:I346">
    <cfRule type="expression" dxfId="75" priority="71">
      <formula>$N$5&lt;25</formula>
    </cfRule>
  </conditionalFormatting>
  <conditionalFormatting sqref="E334">
    <cfRule type="cellIs" dxfId="74" priority="76" operator="equal">
      <formula>0</formula>
    </cfRule>
  </conditionalFormatting>
  <conditionalFormatting sqref="G334">
    <cfRule type="cellIs" dxfId="73" priority="75" operator="equal">
      <formula>0</formula>
    </cfRule>
  </conditionalFormatting>
  <conditionalFormatting sqref="A337">
    <cfRule type="cellIs" dxfId="72" priority="74" operator="equal">
      <formula>0</formula>
    </cfRule>
  </conditionalFormatting>
  <conditionalFormatting sqref="A336">
    <cfRule type="expression" dxfId="71" priority="73">
      <formula>$N$5&lt;3</formula>
    </cfRule>
  </conditionalFormatting>
  <conditionalFormatting sqref="I345">
    <cfRule type="expression" dxfId="70" priority="72">
      <formula>$N$5&lt;2</formula>
    </cfRule>
  </conditionalFormatting>
  <conditionalFormatting sqref="A347:I360">
    <cfRule type="expression" dxfId="69" priority="65">
      <formula>$N$5&lt;26</formula>
    </cfRule>
  </conditionalFormatting>
  <conditionalFormatting sqref="E348">
    <cfRule type="cellIs" dxfId="68" priority="70" operator="equal">
      <formula>0</formula>
    </cfRule>
  </conditionalFormatting>
  <conditionalFormatting sqref="G348">
    <cfRule type="cellIs" dxfId="67" priority="69" operator="equal">
      <formula>0</formula>
    </cfRule>
  </conditionalFormatting>
  <conditionalFormatting sqref="A351">
    <cfRule type="cellIs" dxfId="66" priority="68" operator="equal">
      <formula>0</formula>
    </cfRule>
  </conditionalFormatting>
  <conditionalFormatting sqref="A350">
    <cfRule type="expression" dxfId="65" priority="67">
      <formula>$N$5&lt;3</formula>
    </cfRule>
  </conditionalFormatting>
  <conditionalFormatting sqref="I359">
    <cfRule type="expression" dxfId="64" priority="66">
      <formula>$N$5&lt;2</formula>
    </cfRule>
  </conditionalFormatting>
  <conditionalFormatting sqref="A361:I374">
    <cfRule type="expression" dxfId="63" priority="59">
      <formula>$N$5&lt;27</formula>
    </cfRule>
  </conditionalFormatting>
  <conditionalFormatting sqref="E362">
    <cfRule type="cellIs" dxfId="62" priority="64" operator="equal">
      <formula>0</formula>
    </cfRule>
  </conditionalFormatting>
  <conditionalFormatting sqref="G362">
    <cfRule type="cellIs" dxfId="61" priority="63" operator="equal">
      <formula>0</formula>
    </cfRule>
  </conditionalFormatting>
  <conditionalFormatting sqref="A365">
    <cfRule type="cellIs" dxfId="60" priority="62" operator="equal">
      <formula>0</formula>
    </cfRule>
  </conditionalFormatting>
  <conditionalFormatting sqref="A364">
    <cfRule type="expression" dxfId="59" priority="61">
      <formula>$N$5&lt;3</formula>
    </cfRule>
  </conditionalFormatting>
  <conditionalFormatting sqref="I373">
    <cfRule type="expression" dxfId="58" priority="60">
      <formula>$N$5&lt;2</formula>
    </cfRule>
  </conditionalFormatting>
  <conditionalFormatting sqref="A375:I388">
    <cfRule type="expression" dxfId="57" priority="53">
      <formula>$N$5&lt;28</formula>
    </cfRule>
  </conditionalFormatting>
  <conditionalFormatting sqref="E376">
    <cfRule type="cellIs" dxfId="56" priority="58" operator="equal">
      <formula>0</formula>
    </cfRule>
  </conditionalFormatting>
  <conditionalFormatting sqref="G376">
    <cfRule type="cellIs" dxfId="55" priority="57" operator="equal">
      <formula>0</formula>
    </cfRule>
  </conditionalFormatting>
  <conditionalFormatting sqref="A379">
    <cfRule type="cellIs" dxfId="54" priority="56" operator="equal">
      <formula>0</formula>
    </cfRule>
  </conditionalFormatting>
  <conditionalFormatting sqref="A378">
    <cfRule type="expression" dxfId="53" priority="55">
      <formula>$N$5&lt;3</formula>
    </cfRule>
  </conditionalFormatting>
  <conditionalFormatting sqref="I387">
    <cfRule type="expression" dxfId="52" priority="54">
      <formula>$N$5&lt;2</formula>
    </cfRule>
  </conditionalFormatting>
  <conditionalFormatting sqref="A389:I402">
    <cfRule type="expression" dxfId="51" priority="47">
      <formula>$N$5&lt;29</formula>
    </cfRule>
  </conditionalFormatting>
  <conditionalFormatting sqref="E390">
    <cfRule type="cellIs" dxfId="50" priority="52" operator="equal">
      <formula>0</formula>
    </cfRule>
  </conditionalFormatting>
  <conditionalFormatting sqref="G390">
    <cfRule type="cellIs" dxfId="49" priority="51" operator="equal">
      <formula>0</formula>
    </cfRule>
  </conditionalFormatting>
  <conditionalFormatting sqref="A393">
    <cfRule type="cellIs" dxfId="48" priority="50" operator="equal">
      <formula>0</formula>
    </cfRule>
  </conditionalFormatting>
  <conditionalFormatting sqref="A392">
    <cfRule type="expression" dxfId="47" priority="49">
      <formula>$N$5&lt;3</formula>
    </cfRule>
  </conditionalFormatting>
  <conditionalFormatting sqref="I401">
    <cfRule type="expression" dxfId="46" priority="48">
      <formula>$N$5&lt;2</formula>
    </cfRule>
  </conditionalFormatting>
  <conditionalFormatting sqref="A403:I416">
    <cfRule type="expression" dxfId="45" priority="41">
      <formula>$N$5&lt;30</formula>
    </cfRule>
  </conditionalFormatting>
  <conditionalFormatting sqref="E404">
    <cfRule type="cellIs" dxfId="44" priority="46" operator="equal">
      <formula>0</formula>
    </cfRule>
  </conditionalFormatting>
  <conditionalFormatting sqref="G404">
    <cfRule type="cellIs" dxfId="43" priority="45" operator="equal">
      <formula>0</formula>
    </cfRule>
  </conditionalFormatting>
  <conditionalFormatting sqref="A407">
    <cfRule type="cellIs" dxfId="42" priority="44" operator="equal">
      <formula>0</formula>
    </cfRule>
  </conditionalFormatting>
  <conditionalFormatting sqref="A406">
    <cfRule type="expression" dxfId="41" priority="43">
      <formula>$N$5&lt;3</formula>
    </cfRule>
  </conditionalFormatting>
  <conditionalFormatting sqref="I415">
    <cfRule type="expression" dxfId="40" priority="42">
      <formula>$N$5&lt;2</formula>
    </cfRule>
  </conditionalFormatting>
  <conditionalFormatting sqref="A417:I430">
    <cfRule type="expression" dxfId="39" priority="35">
      <formula>$N$5&lt;31</formula>
    </cfRule>
  </conditionalFormatting>
  <conditionalFormatting sqref="E418">
    <cfRule type="cellIs" dxfId="38" priority="40" operator="equal">
      <formula>0</formula>
    </cfRule>
  </conditionalFormatting>
  <conditionalFormatting sqref="G418">
    <cfRule type="cellIs" dxfId="37" priority="39" operator="equal">
      <formula>0</formula>
    </cfRule>
  </conditionalFormatting>
  <conditionalFormatting sqref="A421">
    <cfRule type="cellIs" dxfId="36" priority="38" operator="equal">
      <formula>0</formula>
    </cfRule>
  </conditionalFormatting>
  <conditionalFormatting sqref="A420">
    <cfRule type="expression" dxfId="35" priority="37">
      <formula>$N$5&lt;3</formula>
    </cfRule>
  </conditionalFormatting>
  <conditionalFormatting sqref="I429">
    <cfRule type="expression" dxfId="34" priority="36">
      <formula>$N$5&lt;2</formula>
    </cfRule>
  </conditionalFormatting>
  <conditionalFormatting sqref="A431:I444">
    <cfRule type="expression" dxfId="33" priority="29">
      <formula>$N$5&lt;32</formula>
    </cfRule>
  </conditionalFormatting>
  <conditionalFormatting sqref="E432">
    <cfRule type="cellIs" dxfId="32" priority="34" operator="equal">
      <formula>0</formula>
    </cfRule>
  </conditionalFormatting>
  <conditionalFormatting sqref="G432">
    <cfRule type="cellIs" dxfId="31" priority="33" operator="equal">
      <formula>0</formula>
    </cfRule>
  </conditionalFormatting>
  <conditionalFormatting sqref="A435">
    <cfRule type="cellIs" dxfId="30" priority="32" operator="equal">
      <formula>0</formula>
    </cfRule>
  </conditionalFormatting>
  <conditionalFormatting sqref="A434">
    <cfRule type="expression" dxfId="29" priority="31">
      <formula>$N$5&lt;3</formula>
    </cfRule>
  </conditionalFormatting>
  <conditionalFormatting sqref="I443">
    <cfRule type="expression" dxfId="28" priority="30">
      <formula>$N$5&lt;2</formula>
    </cfRule>
  </conditionalFormatting>
  <conditionalFormatting sqref="A445:I458">
    <cfRule type="expression" dxfId="27" priority="23">
      <formula>$N$5&lt;33</formula>
    </cfRule>
  </conditionalFormatting>
  <conditionalFormatting sqref="E446">
    <cfRule type="cellIs" dxfId="26" priority="28" operator="equal">
      <formula>0</formula>
    </cfRule>
  </conditionalFormatting>
  <conditionalFormatting sqref="G446">
    <cfRule type="cellIs" dxfId="25" priority="27" operator="equal">
      <formula>0</formula>
    </cfRule>
  </conditionalFormatting>
  <conditionalFormatting sqref="A449">
    <cfRule type="cellIs" dxfId="24" priority="26" operator="equal">
      <formula>0</formula>
    </cfRule>
  </conditionalFormatting>
  <conditionalFormatting sqref="A448">
    <cfRule type="expression" dxfId="23" priority="25">
      <formula>$N$5&lt;3</formula>
    </cfRule>
  </conditionalFormatting>
  <conditionalFormatting sqref="I457">
    <cfRule type="expression" dxfId="22" priority="24">
      <formula>$N$5&lt;2</formula>
    </cfRule>
  </conditionalFormatting>
  <conditionalFormatting sqref="A459:I472">
    <cfRule type="expression" dxfId="21" priority="17">
      <formula>$N$5&lt;34</formula>
    </cfRule>
  </conditionalFormatting>
  <conditionalFormatting sqref="E460">
    <cfRule type="cellIs" dxfId="20" priority="22" operator="equal">
      <formula>0</formula>
    </cfRule>
  </conditionalFormatting>
  <conditionalFormatting sqref="G460">
    <cfRule type="cellIs" dxfId="19" priority="21" operator="equal">
      <formula>0</formula>
    </cfRule>
  </conditionalFormatting>
  <conditionalFormatting sqref="A463">
    <cfRule type="cellIs" dxfId="18" priority="20" operator="equal">
      <formula>0</formula>
    </cfRule>
  </conditionalFormatting>
  <conditionalFormatting sqref="A462">
    <cfRule type="expression" dxfId="17" priority="19">
      <formula>$N$5&lt;3</formula>
    </cfRule>
  </conditionalFormatting>
  <conditionalFormatting sqref="I471">
    <cfRule type="expression" dxfId="16" priority="18">
      <formula>$N$5&lt;2</formula>
    </cfRule>
  </conditionalFormatting>
  <conditionalFormatting sqref="A473:I486">
    <cfRule type="expression" dxfId="15" priority="11">
      <formula>$N$5&lt;35</formula>
    </cfRule>
  </conditionalFormatting>
  <conditionalFormatting sqref="E474">
    <cfRule type="cellIs" dxfId="14" priority="16" operator="equal">
      <formula>0</formula>
    </cfRule>
  </conditionalFormatting>
  <conditionalFormatting sqref="G474">
    <cfRule type="cellIs" dxfId="13" priority="15" operator="equal">
      <formula>0</formula>
    </cfRule>
  </conditionalFormatting>
  <conditionalFormatting sqref="A477">
    <cfRule type="cellIs" dxfId="12" priority="14" operator="equal">
      <formula>0</formula>
    </cfRule>
  </conditionalFormatting>
  <conditionalFormatting sqref="A476">
    <cfRule type="expression" dxfId="11" priority="13">
      <formula>$N$5&lt;3</formula>
    </cfRule>
  </conditionalFormatting>
  <conditionalFormatting sqref="I485">
    <cfRule type="expression" dxfId="10" priority="12">
      <formula>$N$5&lt;2</formula>
    </cfRule>
  </conditionalFormatting>
  <conditionalFormatting sqref="A487:I500">
    <cfRule type="expression" dxfId="9" priority="5">
      <formula>$N$5&lt;36</formula>
    </cfRule>
  </conditionalFormatting>
  <conditionalFormatting sqref="E488">
    <cfRule type="cellIs" dxfId="8" priority="10" operator="equal">
      <formula>0</formula>
    </cfRule>
  </conditionalFormatting>
  <conditionalFormatting sqref="G488">
    <cfRule type="cellIs" dxfId="7" priority="9" operator="equal">
      <formula>0</formula>
    </cfRule>
  </conditionalFormatting>
  <conditionalFormatting sqref="A491">
    <cfRule type="cellIs" dxfId="6" priority="8" operator="equal">
      <formula>0</formula>
    </cfRule>
  </conditionalFormatting>
  <conditionalFormatting sqref="A490">
    <cfRule type="expression" dxfId="5" priority="7">
      <formula>$N$5&lt;3</formula>
    </cfRule>
  </conditionalFormatting>
  <conditionalFormatting sqref="I499">
    <cfRule type="expression" dxfId="4" priority="6">
      <formula>$N$5&lt;2</formula>
    </cfRule>
  </conditionalFormatting>
  <conditionalFormatting sqref="A165:I178">
    <cfRule type="expression" dxfId="3" priority="4">
      <formula>$N$5&lt;13</formula>
    </cfRule>
  </conditionalFormatting>
  <conditionalFormatting sqref="H3">
    <cfRule type="cellIs" dxfId="2" priority="3" operator="equal">
      <formula>0</formula>
    </cfRule>
  </conditionalFormatting>
  <conditionalFormatting sqref="B4:G6">
    <cfRule type="cellIs" dxfId="1" priority="2" operator="equal">
      <formula>0</formula>
    </cfRule>
  </conditionalFormatting>
  <conditionalFormatting sqref="B8:G9">
    <cfRule type="cellIs" dxfId="0" priority="1" operator="equal">
      <formula>0</formula>
    </cfRule>
  </conditionalFormatting>
  <dataValidations count="6">
    <dataValidation type="list" allowBlank="1" showInputMessage="1" showErrorMessage="1" sqref="N3" xr:uid="{00000000-0002-0000-0100-000000000000}">
      <formula1>$S$3:$S$8</formula1>
    </dataValidation>
    <dataValidation type="list" allowBlank="1" showInputMessage="1" showErrorMessage="1" sqref="N5" xr:uid="{00000000-0002-0000-0100-000001000000}">
      <formula1>$T$3:$T$38</formula1>
    </dataValidation>
    <dataValidation type="list" allowBlank="1" showInputMessage="1" showErrorMessage="1" sqref="N9" xr:uid="{00000000-0002-0000-0100-000002000000}">
      <formula1>$S$11</formula1>
    </dataValidation>
    <dataValidation type="list" allowBlank="1" showInputMessage="1" showErrorMessage="1" sqref="N11" xr:uid="{00000000-0002-0000-0100-000003000000}">
      <formula1>$S$15</formula1>
    </dataValidation>
    <dataValidation type="list" allowBlank="1" showInputMessage="1" showErrorMessage="1" sqref="P9" xr:uid="{00000000-0002-0000-0100-000004000000}">
      <formula1>$T$15:$T$38</formula1>
    </dataValidation>
    <dataValidation type="list" allowBlank="1" showInputMessage="1" showErrorMessage="1" sqref="P11" xr:uid="{00000000-0002-0000-0100-000005000000}">
      <formula1>$T$27:$T$38</formula1>
    </dataValidation>
  </dataValidations>
  <pageMargins left="0.59055118110236227" right="0.31496062992125984" top="0.19685039370078741" bottom="0.19685039370078741" header="0" footer="0"/>
  <pageSetup paperSize="9" scale="66" fitToHeight="0" orientation="portrait" r:id="rId1"/>
  <rowBreaks count="7" manualBreakCount="7">
    <brk id="68" max="8" man="1"/>
    <brk id="128" max="8" man="1"/>
    <brk id="192" max="8" man="1"/>
    <brk id="262" max="8" man="1"/>
    <brk id="332" max="8" man="1"/>
    <brk id="402" max="8" man="1"/>
    <brk id="472"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prosozial</vt:lpstr>
      <vt:lpstr>Tabelle1</vt:lpstr>
      <vt:lpstr>Tabelle1!Druckbereich</vt:lpstr>
    </vt:vector>
  </TitlesOfParts>
  <Company>Landkreis Göttingen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Katharina</dc:creator>
  <cp:lastModifiedBy>Krebs, Katharina</cp:lastModifiedBy>
  <cp:lastPrinted>2019-12-04T11:02:45Z</cp:lastPrinted>
  <dcterms:created xsi:type="dcterms:W3CDTF">2019-06-27T06:04:09Z</dcterms:created>
  <dcterms:modified xsi:type="dcterms:W3CDTF">2024-10-24T09:29:54Z</dcterms:modified>
</cp:coreProperties>
</file>