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drawings/drawing15.xml" ContentType="application/vnd.openxmlformats-officedocument.drawing+xml"/>
  <Override PartName="/xl/comments17.xml" ContentType="application/vnd.openxmlformats-officedocument.spreadsheetml.comments+xml"/>
  <Override PartName="/xl/drawings/drawing16.xml" ContentType="application/vnd.openxmlformats-officedocument.drawing+xml"/>
  <Override PartName="/xl/comments18.xml" ContentType="application/vnd.openxmlformats-officedocument.spreadsheetml.comments+xml"/>
  <Override PartName="/xl/drawings/drawing17.xml" ContentType="application/vnd.openxmlformats-officedocument.drawing+xml"/>
  <Override PartName="/xl/comments19.xml" ContentType="application/vnd.openxmlformats-officedocument.spreadsheetml.comments+xml"/>
  <Override PartName="/xl/drawings/drawing18.xml" ContentType="application/vnd.openxmlformats-officedocument.drawing+xml"/>
  <Override PartName="/xl/ctrlProps/ctrlProp1.xml" ContentType="application/vnd.ms-excel.controlproperties+xml"/>
  <Override PartName="/xl/drawings/drawing19.xml" ContentType="application/vnd.openxmlformats-officedocument.drawing+xml"/>
  <Override PartName="/xl/ctrlProps/ctrlProp2.xml" ContentType="application/vnd.ms-excel.controlproperties+xml"/>
  <Override PartName="/xl/drawings/drawing20.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DieseArbeitsmappe"/>
  <mc:AlternateContent xmlns:mc="http://schemas.openxmlformats.org/markup-compatibility/2006">
    <mc:Choice Requires="x15">
      <x15ac:absPath xmlns:x15ac="http://schemas.microsoft.com/office/spreadsheetml/2010/11/ac" url="\\Dst.baintern.de\dfs\025\Ablagen\D02500-FB31\Team_KIWI\KiZ-BerHi\Kaufmann\2025\"/>
    </mc:Choice>
  </mc:AlternateContent>
  <xr:revisionPtr revIDLastSave="0" documentId="8_{26BF09F1-241E-42A3-8E6C-3F0C86DA5CF9}" xr6:coauthVersionLast="36" xr6:coauthVersionMax="36" xr10:uidLastSave="{00000000-0000-0000-0000-000000000000}"/>
  <bookViews>
    <workbookView xWindow="0" yWindow="0" windowWidth="15225" windowHeight="4665" tabRatio="857" firstSheet="1" activeTab="1" xr2:uid="{00000000-000D-0000-FFFF-FFFF00000000}"/>
  </bookViews>
  <sheets>
    <sheet name="Änderungshistorie" sheetId="29" state="hidden" r:id="rId1"/>
    <sheet name="BG" sheetId="1" r:id="rId2"/>
    <sheet name="Kurzantrag" sheetId="39" state="hidden" r:id="rId3"/>
    <sheet name="MEG" sheetId="2" r:id="rId4"/>
    <sheet name="AS" sheetId="3" r:id="rId5"/>
    <sheet name="EP" sheetId="4" r:id="rId6"/>
    <sheet name="K1" sheetId="41" r:id="rId7"/>
    <sheet name="K2" sheetId="6" r:id="rId8"/>
    <sheet name="K3" sheetId="30" r:id="rId9"/>
    <sheet name="K4" sheetId="31" r:id="rId10"/>
    <sheet name="K5" sheetId="32" r:id="rId11"/>
    <sheet name="K6" sheetId="33" r:id="rId12"/>
    <sheet name="K7" sheetId="34" r:id="rId13"/>
    <sheet name="K8" sheetId="35" r:id="rId14"/>
    <sheet name="K9" sheetId="20" state="hidden" r:id="rId15"/>
    <sheet name="K10" sheetId="24" state="hidden" r:id="rId16"/>
    <sheet name="K11" sheetId="23" state="hidden" r:id="rId17"/>
    <sheet name="K12" sheetId="22" state="hidden" r:id="rId18"/>
    <sheet name="K13" sheetId="27" state="hidden" r:id="rId19"/>
    <sheet name="K14" sheetId="26" state="hidden" r:id="rId20"/>
    <sheet name="K15" sheetId="25" state="hidden" r:id="rId21"/>
    <sheet name="BdU" sheetId="12" r:id="rId22"/>
    <sheet name="Vermögen" sheetId="13" state="hidden" r:id="rId23"/>
    <sheet name="Bedarfe" sheetId="14" r:id="rId24"/>
    <sheet name="Berechnung KiZ" sheetId="16" state="hidden" r:id="rId25"/>
    <sheet name="Kiz ab Januar 2025" sheetId="36" r:id="rId26"/>
    <sheet name="Patchwork" sheetId="40" state="hidden" r:id="rId27"/>
    <sheet name="Datenblatt" sheetId="15" state="hidden" r:id="rId28"/>
    <sheet name="Grundfreibeträge" sheetId="17" state="hidden" r:id="rId29"/>
    <sheet name="anteilige Wohnkosten" sheetId="18" state="hidden" r:id="rId30"/>
    <sheet name="Zusammenfassung" sheetId="28" state="hidden" r:id="rId31"/>
    <sheet name="Ablehnung (Kiz-31)" sheetId="38" state="hidden" r:id="rId32"/>
  </sheets>
  <definedNames>
    <definedName name="_xlnm.Print_Area" localSheetId="23">Bedarfe!$A$1:$M$105</definedName>
    <definedName name="_xlnm.Print_Area" localSheetId="24">'Berechnung KiZ'!$A$1:$M$101</definedName>
    <definedName name="_xlnm.Print_Area" localSheetId="1">BG!$A$1:$J$35</definedName>
    <definedName name="_xlnm.Print_Area" localSheetId="25">'Kiz ab Januar 2025'!$A$1:$M$77</definedName>
    <definedName name="_xlnm.Print_Area" localSheetId="2">Kurzantrag!$A$1:$H$26</definedName>
    <definedName name="_xlnm.Print_Area" localSheetId="26">Patchwork!$A$1:$L$105</definedName>
    <definedName name="_xlnm.Print_Area" localSheetId="22">Vermögen!$A$1:$M$36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7" l="1"/>
  <c r="O32" i="17" s="1"/>
  <c r="J33" i="17" s="1"/>
  <c r="O30" i="17" l="1"/>
  <c r="J31" i="17" s="1"/>
  <c r="O31" i="17"/>
  <c r="J32" i="17" s="1"/>
  <c r="O34" i="17"/>
  <c r="J35" i="17" s="1"/>
  <c r="O29" i="17"/>
  <c r="J30" i="17" s="1"/>
  <c r="O33" i="17"/>
  <c r="J34" i="17" s="1"/>
  <c r="D4" i="1"/>
  <c r="D4" i="3" l="1"/>
  <c r="G4" i="3"/>
  <c r="G3" i="1" l="1"/>
  <c r="O22" i="15" s="1"/>
  <c r="H50" i="14" l="1"/>
  <c r="G50" i="14"/>
  <c r="F50" i="14"/>
  <c r="E50" i="14"/>
  <c r="D50" i="14"/>
  <c r="C50" i="14"/>
  <c r="M8" i="14"/>
  <c r="L8" i="14"/>
  <c r="K8" i="14"/>
  <c r="J8" i="14"/>
  <c r="I8" i="14"/>
  <c r="H8" i="14"/>
  <c r="G8" i="14"/>
  <c r="F8" i="14"/>
  <c r="E8" i="14"/>
  <c r="D8" i="14"/>
  <c r="C8" i="14"/>
  <c r="H106" i="41" l="1"/>
  <c r="G106" i="41"/>
  <c r="F106" i="41"/>
  <c r="E106" i="41"/>
  <c r="D106" i="41"/>
  <c r="C106" i="41"/>
  <c r="H105" i="41"/>
  <c r="G105" i="41"/>
  <c r="F105" i="41"/>
  <c r="E105" i="41"/>
  <c r="D105" i="41"/>
  <c r="C105" i="41"/>
  <c r="H89" i="41"/>
  <c r="G89" i="41"/>
  <c r="F89" i="41"/>
  <c r="E89" i="41"/>
  <c r="D89" i="41"/>
  <c r="C89" i="41"/>
  <c r="H85" i="41"/>
  <c r="G85" i="41"/>
  <c r="F85" i="41"/>
  <c r="E85" i="41"/>
  <c r="D85" i="41"/>
  <c r="C85" i="41"/>
  <c r="D83" i="41"/>
  <c r="I80" i="41"/>
  <c r="I79" i="41"/>
  <c r="I78" i="41"/>
  <c r="F78" i="41"/>
  <c r="I77" i="41"/>
  <c r="I76" i="41"/>
  <c r="J75" i="41"/>
  <c r="J74" i="41"/>
  <c r="H73" i="41"/>
  <c r="J85" i="41" s="1"/>
  <c r="G73" i="41"/>
  <c r="F73" i="41"/>
  <c r="E73" i="41"/>
  <c r="D73" i="41"/>
  <c r="C73" i="41"/>
  <c r="H55" i="41"/>
  <c r="G55" i="41"/>
  <c r="F55" i="41"/>
  <c r="E55" i="41"/>
  <c r="D55" i="41"/>
  <c r="C55" i="41"/>
  <c r="H54" i="41"/>
  <c r="G54" i="41"/>
  <c r="F54" i="41"/>
  <c r="E54" i="41"/>
  <c r="D54" i="41"/>
  <c r="C54" i="41"/>
  <c r="H50" i="41"/>
  <c r="H51" i="41" s="1"/>
  <c r="G50" i="41"/>
  <c r="G51" i="41" s="1"/>
  <c r="F50" i="41"/>
  <c r="F51" i="41" s="1"/>
  <c r="E50" i="41"/>
  <c r="E51" i="41" s="1"/>
  <c r="D50" i="41"/>
  <c r="D51" i="41" s="1"/>
  <c r="C50" i="41"/>
  <c r="C51" i="41" s="1"/>
  <c r="H37" i="41"/>
  <c r="H61" i="41" s="1"/>
  <c r="G37" i="41"/>
  <c r="G61" i="41" s="1"/>
  <c r="F37" i="41"/>
  <c r="F61" i="41" s="1"/>
  <c r="E37" i="41"/>
  <c r="E61" i="41" s="1"/>
  <c r="D37" i="41"/>
  <c r="D61" i="41" s="1"/>
  <c r="C37" i="41"/>
  <c r="C61" i="41" s="1"/>
  <c r="H28" i="41"/>
  <c r="G28" i="41"/>
  <c r="F28" i="41"/>
  <c r="E28" i="41"/>
  <c r="D28" i="41"/>
  <c r="C28" i="41"/>
  <c r="H23" i="41"/>
  <c r="G23" i="41"/>
  <c r="F23" i="41"/>
  <c r="E23" i="41"/>
  <c r="D23" i="41"/>
  <c r="C23" i="41"/>
  <c r="H17" i="41"/>
  <c r="G17" i="41"/>
  <c r="F17" i="41"/>
  <c r="E17" i="41"/>
  <c r="D17" i="41"/>
  <c r="C17" i="41"/>
  <c r="H12" i="41"/>
  <c r="G12" i="41"/>
  <c r="F12" i="41"/>
  <c r="E12" i="41"/>
  <c r="D12" i="41"/>
  <c r="C12" i="41"/>
  <c r="H7" i="41"/>
  <c r="G7" i="41"/>
  <c r="F7" i="41"/>
  <c r="E7" i="41"/>
  <c r="D7" i="41"/>
  <c r="C7" i="41"/>
  <c r="H2" i="41"/>
  <c r="G2" i="41"/>
  <c r="F2" i="41"/>
  <c r="E2" i="41"/>
  <c r="D2" i="41"/>
  <c r="C2" i="41"/>
  <c r="E62" i="41" l="1"/>
  <c r="F62" i="41"/>
  <c r="H62" i="41"/>
  <c r="G62" i="41"/>
  <c r="D62" i="41"/>
  <c r="C62" i="41"/>
  <c r="I106" i="41"/>
  <c r="D10" i="39"/>
  <c r="N5" i="12" l="1"/>
  <c r="H8" i="39"/>
  <c r="F14" i="39" s="1"/>
  <c r="H53" i="14" l="1"/>
  <c r="G53" i="14"/>
  <c r="F53" i="14"/>
  <c r="E53" i="14"/>
  <c r="D53" i="14"/>
  <c r="C53" i="14"/>
  <c r="M11" i="14"/>
  <c r="L11" i="14"/>
  <c r="K11" i="14"/>
  <c r="J11" i="14"/>
  <c r="I11" i="14"/>
  <c r="H11" i="14"/>
  <c r="G11" i="14"/>
  <c r="D11" i="14"/>
  <c r="N29" i="14" l="1"/>
  <c r="H18" i="36" l="1"/>
  <c r="A86" i="15" l="1"/>
  <c r="E22" i="14" l="1"/>
  <c r="J36" i="14"/>
  <c r="F34" i="14"/>
  <c r="F36" i="14"/>
  <c r="G4" i="12"/>
  <c r="C7" i="12" l="1"/>
  <c r="G5" i="12"/>
  <c r="D23" i="6" l="1"/>
  <c r="E23" i="6"/>
  <c r="F23" i="6"/>
  <c r="G23" i="6"/>
  <c r="H23" i="6"/>
  <c r="D23" i="34"/>
  <c r="E23" i="34"/>
  <c r="F23" i="34"/>
  <c r="G23" i="34"/>
  <c r="H23" i="34"/>
  <c r="D23" i="25"/>
  <c r="E23" i="25"/>
  <c r="F23" i="25"/>
  <c r="G23" i="25"/>
  <c r="H23" i="25"/>
  <c r="C23" i="25"/>
  <c r="C23" i="26"/>
  <c r="D23" i="26"/>
  <c r="E23" i="26"/>
  <c r="F23" i="26"/>
  <c r="G23" i="26"/>
  <c r="H23" i="26"/>
  <c r="C23" i="27"/>
  <c r="D23" i="27"/>
  <c r="E23" i="27"/>
  <c r="F23" i="27"/>
  <c r="G23" i="27"/>
  <c r="H23" i="27"/>
  <c r="C23" i="22"/>
  <c r="D23" i="22"/>
  <c r="E23" i="22"/>
  <c r="F23" i="22"/>
  <c r="G23" i="22"/>
  <c r="H23" i="22"/>
  <c r="C23" i="23"/>
  <c r="D23" i="23"/>
  <c r="E23" i="23"/>
  <c r="F23" i="23"/>
  <c r="G23" i="23"/>
  <c r="H23" i="23"/>
  <c r="C23" i="24"/>
  <c r="D23" i="24"/>
  <c r="E23" i="24"/>
  <c r="F23" i="24"/>
  <c r="G23" i="24"/>
  <c r="H23" i="24"/>
  <c r="C23" i="20"/>
  <c r="D23" i="20"/>
  <c r="E23" i="20"/>
  <c r="F23" i="20"/>
  <c r="G23" i="20"/>
  <c r="H23" i="20"/>
  <c r="C23" i="35"/>
  <c r="D23" i="35"/>
  <c r="E23" i="35"/>
  <c r="F23" i="35"/>
  <c r="G23" i="35"/>
  <c r="H23" i="35"/>
  <c r="C23" i="34"/>
  <c r="C23" i="33"/>
  <c r="D23" i="33"/>
  <c r="E23" i="33"/>
  <c r="F23" i="33"/>
  <c r="G23" i="33"/>
  <c r="H23" i="33"/>
  <c r="C23" i="32"/>
  <c r="D23" i="32"/>
  <c r="E23" i="32"/>
  <c r="F23" i="32"/>
  <c r="G23" i="32"/>
  <c r="H23" i="32"/>
  <c r="D23" i="31"/>
  <c r="E23" i="31"/>
  <c r="F23" i="31"/>
  <c r="G23" i="31"/>
  <c r="H23" i="31"/>
  <c r="C23" i="31"/>
  <c r="D23" i="30"/>
  <c r="E23" i="30"/>
  <c r="F23" i="30"/>
  <c r="G23" i="30"/>
  <c r="H23" i="30"/>
  <c r="C23" i="30"/>
  <c r="C23" i="6"/>
  <c r="H105" i="30" l="1"/>
  <c r="G105" i="30"/>
  <c r="F105" i="30"/>
  <c r="E105" i="30"/>
  <c r="D105" i="30"/>
  <c r="C105" i="30"/>
  <c r="H105" i="6"/>
  <c r="G105" i="6"/>
  <c r="F105" i="6"/>
  <c r="E105" i="6"/>
  <c r="D105" i="6"/>
  <c r="I80" i="35" l="1"/>
  <c r="I80" i="34"/>
  <c r="I80" i="33"/>
  <c r="I80" i="32"/>
  <c r="I80" i="31"/>
  <c r="I80" i="30"/>
  <c r="I80" i="6"/>
  <c r="H7" i="4" l="1"/>
  <c r="G7" i="4"/>
  <c r="F7" i="4"/>
  <c r="E7" i="4"/>
  <c r="D7" i="4"/>
  <c r="C7" i="4"/>
  <c r="H7" i="3"/>
  <c r="G7" i="3"/>
  <c r="F7" i="3"/>
  <c r="E7" i="3"/>
  <c r="D7" i="3"/>
  <c r="C7" i="3"/>
  <c r="F99" i="14" l="1"/>
  <c r="F98" i="14"/>
  <c r="M8" i="36" l="1"/>
  <c r="F6" i="15" l="1"/>
  <c r="E6" i="15"/>
  <c r="C4" i="3" l="1"/>
  <c r="K11" i="12" l="1"/>
  <c r="K12" i="12" s="1"/>
  <c r="L11" i="12" l="1"/>
  <c r="D12" i="12" s="1"/>
  <c r="D13" i="4"/>
  <c r="D13" i="3"/>
  <c r="L12" i="12" l="1"/>
  <c r="D11" i="12" l="1"/>
  <c r="E14" i="38"/>
  <c r="B14" i="38"/>
  <c r="B3" i="38"/>
  <c r="E12" i="12" l="1"/>
  <c r="A17" i="12" s="1"/>
  <c r="A18" i="12" s="1"/>
  <c r="S16" i="14"/>
  <c r="T16" i="14"/>
  <c r="U16" i="14"/>
  <c r="V16" i="14"/>
  <c r="W16" i="14"/>
  <c r="R16" i="14"/>
  <c r="S4" i="14"/>
  <c r="Q4" i="14"/>
  <c r="T4" i="14"/>
  <c r="U4" i="14"/>
  <c r="V4" i="14"/>
  <c r="W4" i="14"/>
  <c r="X4" i="14"/>
  <c r="Y4" i="14"/>
  <c r="Z4" i="14"/>
  <c r="M4" i="14"/>
  <c r="L4" i="14"/>
  <c r="K4" i="14"/>
  <c r="J4" i="14"/>
  <c r="I4" i="14"/>
  <c r="H4" i="14"/>
  <c r="G4" i="14"/>
  <c r="F4" i="14"/>
  <c r="D4" i="14"/>
  <c r="D85" i="25"/>
  <c r="E85" i="25"/>
  <c r="F85" i="25"/>
  <c r="G85" i="25"/>
  <c r="H85" i="25"/>
  <c r="C85" i="25"/>
  <c r="D85" i="26"/>
  <c r="E85" i="26"/>
  <c r="F85" i="26"/>
  <c r="G85" i="26"/>
  <c r="H85" i="26"/>
  <c r="C85" i="26"/>
  <c r="D85" i="27"/>
  <c r="E85" i="27"/>
  <c r="F85" i="27"/>
  <c r="G85" i="27"/>
  <c r="H85" i="27"/>
  <c r="C85" i="27"/>
  <c r="H85" i="22"/>
  <c r="D85" i="22"/>
  <c r="E85" i="22"/>
  <c r="F85" i="22"/>
  <c r="G85" i="22"/>
  <c r="C85" i="22"/>
  <c r="D85" i="23"/>
  <c r="E85" i="23"/>
  <c r="F85" i="23"/>
  <c r="G85" i="23"/>
  <c r="H85" i="23"/>
  <c r="C85" i="23"/>
  <c r="H85" i="24"/>
  <c r="G85" i="24"/>
  <c r="F85" i="24"/>
  <c r="E85" i="24"/>
  <c r="D85" i="24"/>
  <c r="C85" i="24"/>
  <c r="H85" i="20"/>
  <c r="G85" i="20"/>
  <c r="F85" i="20"/>
  <c r="E85" i="20"/>
  <c r="D85" i="20"/>
  <c r="C85" i="20"/>
  <c r="H85" i="35"/>
  <c r="G85" i="35"/>
  <c r="F85" i="35"/>
  <c r="E85" i="35"/>
  <c r="D85" i="35"/>
  <c r="C85" i="35"/>
  <c r="H85" i="34"/>
  <c r="G85" i="34"/>
  <c r="F85" i="34"/>
  <c r="E85" i="34"/>
  <c r="D85" i="34"/>
  <c r="C85" i="34"/>
  <c r="H85" i="33"/>
  <c r="G85" i="33"/>
  <c r="F85" i="33"/>
  <c r="E85" i="33"/>
  <c r="D85" i="33"/>
  <c r="C85" i="33"/>
  <c r="H85" i="32"/>
  <c r="G85" i="32"/>
  <c r="F85" i="32"/>
  <c r="E85" i="32"/>
  <c r="D85" i="32"/>
  <c r="C85" i="32"/>
  <c r="H85" i="31"/>
  <c r="G85" i="31"/>
  <c r="F85" i="31"/>
  <c r="E85" i="31"/>
  <c r="D85" i="31"/>
  <c r="C85" i="31"/>
  <c r="H85" i="30"/>
  <c r="G85" i="30"/>
  <c r="F85" i="30"/>
  <c r="E85" i="30"/>
  <c r="D85" i="30"/>
  <c r="C85" i="30"/>
  <c r="H85" i="6"/>
  <c r="G85" i="6"/>
  <c r="F85" i="6"/>
  <c r="E85" i="6"/>
  <c r="D85" i="6"/>
  <c r="C85" i="6"/>
  <c r="H14" i="4"/>
  <c r="G14" i="4"/>
  <c r="F14" i="4"/>
  <c r="E14" i="4"/>
  <c r="D14" i="4"/>
  <c r="C14" i="4"/>
  <c r="H14" i="3"/>
  <c r="G14" i="3"/>
  <c r="F14" i="3"/>
  <c r="E14" i="3"/>
  <c r="D14" i="3"/>
  <c r="C14" i="3"/>
  <c r="A26" i="12" l="1"/>
  <c r="A25" i="12"/>
  <c r="A21" i="12"/>
  <c r="A24" i="12"/>
  <c r="A20" i="12"/>
  <c r="A28" i="12"/>
  <c r="A27" i="12"/>
  <c r="A23" i="12"/>
  <c r="A19" i="12"/>
  <c r="A22" i="12"/>
  <c r="E75" i="15" l="1"/>
  <c r="P5" i="17" s="1"/>
  <c r="F75" i="15"/>
  <c r="P6" i="17" s="1"/>
  <c r="G75" i="15"/>
  <c r="P7" i="17" s="1"/>
  <c r="H75" i="15"/>
  <c r="P8" i="17" s="1"/>
  <c r="I75" i="15"/>
  <c r="P9" i="17" s="1"/>
  <c r="J75" i="15"/>
  <c r="P10" i="17" s="1"/>
  <c r="K75" i="15"/>
  <c r="P11" i="17" s="1"/>
  <c r="L75" i="15"/>
  <c r="P12" i="17" s="1"/>
  <c r="M75" i="15"/>
  <c r="P13" i="17" s="1"/>
  <c r="N75" i="15"/>
  <c r="P14" i="17" s="1"/>
  <c r="O75" i="15"/>
  <c r="P15" i="17" s="1"/>
  <c r="P75" i="15"/>
  <c r="P16" i="17" s="1"/>
  <c r="Q75" i="15"/>
  <c r="P17" i="17" s="1"/>
  <c r="R75" i="15"/>
  <c r="P18" i="17" s="1"/>
  <c r="S75" i="15"/>
  <c r="H106" i="25"/>
  <c r="G106" i="25"/>
  <c r="F106" i="25"/>
  <c r="E106" i="25"/>
  <c r="D106" i="25"/>
  <c r="C106" i="25"/>
  <c r="H106" i="26"/>
  <c r="G106" i="26"/>
  <c r="F106" i="26"/>
  <c r="E106" i="26"/>
  <c r="D106" i="26"/>
  <c r="C106" i="26"/>
  <c r="H106" i="27"/>
  <c r="G106" i="27"/>
  <c r="F106" i="27"/>
  <c r="E106" i="27"/>
  <c r="D106" i="27"/>
  <c r="C106" i="27"/>
  <c r="H106" i="22"/>
  <c r="G106" i="22"/>
  <c r="F106" i="22"/>
  <c r="E106" i="22"/>
  <c r="D106" i="22"/>
  <c r="C106" i="22"/>
  <c r="H106" i="23"/>
  <c r="G106" i="23"/>
  <c r="F106" i="23"/>
  <c r="E106" i="23"/>
  <c r="D106" i="23"/>
  <c r="C106" i="23"/>
  <c r="H106" i="24"/>
  <c r="G106" i="24"/>
  <c r="F106" i="24"/>
  <c r="E106" i="24"/>
  <c r="D106" i="24"/>
  <c r="C106" i="24"/>
  <c r="H106" i="20"/>
  <c r="G106" i="20"/>
  <c r="F106" i="20"/>
  <c r="E106" i="20"/>
  <c r="D106" i="20"/>
  <c r="C106" i="20"/>
  <c r="H106" i="35"/>
  <c r="G106" i="35"/>
  <c r="F106" i="35"/>
  <c r="E106" i="35"/>
  <c r="D106" i="35"/>
  <c r="C106" i="35"/>
  <c r="H106" i="34"/>
  <c r="G106" i="34"/>
  <c r="F106" i="34"/>
  <c r="E106" i="34"/>
  <c r="D106" i="34"/>
  <c r="C106" i="34"/>
  <c r="H106" i="33"/>
  <c r="G106" i="33"/>
  <c r="F106" i="33"/>
  <c r="E106" i="33"/>
  <c r="D106" i="33"/>
  <c r="C106" i="33"/>
  <c r="H106" i="32"/>
  <c r="G106" i="32"/>
  <c r="F106" i="32"/>
  <c r="E106" i="32"/>
  <c r="D106" i="32"/>
  <c r="C106" i="32"/>
  <c r="H106" i="31"/>
  <c r="G106" i="31"/>
  <c r="F106" i="31"/>
  <c r="E106" i="31"/>
  <c r="D106" i="31"/>
  <c r="C106" i="31"/>
  <c r="H106" i="30"/>
  <c r="G106" i="30"/>
  <c r="F106" i="30"/>
  <c r="E106" i="30"/>
  <c r="D106" i="30"/>
  <c r="C106" i="30"/>
  <c r="H106" i="6"/>
  <c r="G106" i="6"/>
  <c r="F106" i="6"/>
  <c r="E106" i="6"/>
  <c r="D106" i="6"/>
  <c r="S74" i="15" l="1"/>
  <c r="L29" i="13" s="1"/>
  <c r="P19" i="17"/>
  <c r="B21" i="28"/>
  <c r="L32" i="13" l="1"/>
  <c r="S68" i="15" s="1"/>
  <c r="A12" i="36"/>
  <c r="F82" i="14"/>
  <c r="F83" i="14"/>
  <c r="S67" i="15" l="1"/>
  <c r="I9" i="3"/>
  <c r="I9" i="4"/>
  <c r="F47" i="2" l="1"/>
  <c r="F46" i="2"/>
  <c r="F17" i="2"/>
  <c r="F16" i="2"/>
  <c r="H105" i="33"/>
  <c r="G105" i="33"/>
  <c r="F105" i="33"/>
  <c r="E105" i="33"/>
  <c r="D105" i="33"/>
  <c r="C105" i="33"/>
  <c r="H89" i="33"/>
  <c r="G89" i="33"/>
  <c r="F89" i="33"/>
  <c r="E89" i="33"/>
  <c r="D89" i="33"/>
  <c r="C89" i="33"/>
  <c r="D83" i="33"/>
  <c r="I79" i="33"/>
  <c r="I78" i="33"/>
  <c r="F78" i="33"/>
  <c r="I77" i="33"/>
  <c r="I76" i="33"/>
  <c r="J75" i="33"/>
  <c r="J74" i="33"/>
  <c r="H73" i="33"/>
  <c r="J85" i="33" s="1"/>
  <c r="G73" i="33"/>
  <c r="F73" i="33"/>
  <c r="E73" i="33"/>
  <c r="D73" i="33"/>
  <c r="C73" i="33"/>
  <c r="H55" i="33"/>
  <c r="G55" i="33"/>
  <c r="F55" i="33"/>
  <c r="E55" i="33"/>
  <c r="D55" i="33"/>
  <c r="C55" i="33"/>
  <c r="H54" i="33"/>
  <c r="G54" i="33"/>
  <c r="F54" i="33"/>
  <c r="E54" i="33"/>
  <c r="D54" i="33"/>
  <c r="C54" i="33"/>
  <c r="H50" i="33"/>
  <c r="H51" i="33" s="1"/>
  <c r="G50" i="33"/>
  <c r="G51" i="33" s="1"/>
  <c r="F50" i="33"/>
  <c r="F51" i="33" s="1"/>
  <c r="E50" i="33"/>
  <c r="E51" i="33" s="1"/>
  <c r="D50" i="33"/>
  <c r="D51" i="33" s="1"/>
  <c r="C50" i="33"/>
  <c r="C51" i="33" s="1"/>
  <c r="H37" i="33"/>
  <c r="G37" i="33"/>
  <c r="F37" i="33"/>
  <c r="E37" i="33"/>
  <c r="D37" i="33"/>
  <c r="C37" i="33"/>
  <c r="H28" i="33"/>
  <c r="G28" i="33"/>
  <c r="F28" i="33"/>
  <c r="E28" i="33"/>
  <c r="D28" i="33"/>
  <c r="C28" i="33"/>
  <c r="H17" i="33"/>
  <c r="G17" i="33"/>
  <c r="F17" i="33"/>
  <c r="E17" i="33"/>
  <c r="D17" i="33"/>
  <c r="C17" i="33"/>
  <c r="H12" i="33"/>
  <c r="G12" i="33"/>
  <c r="F12" i="33"/>
  <c r="E12" i="33"/>
  <c r="D12" i="33"/>
  <c r="C12" i="33"/>
  <c r="H7" i="33"/>
  <c r="G7" i="33"/>
  <c r="F7" i="33"/>
  <c r="E7" i="33"/>
  <c r="D7" i="33"/>
  <c r="C7" i="33"/>
  <c r="H2" i="33"/>
  <c r="G2" i="33"/>
  <c r="F2" i="33"/>
  <c r="E2" i="33"/>
  <c r="D2" i="33"/>
  <c r="C2" i="33"/>
  <c r="I80" i="25"/>
  <c r="I79" i="25"/>
  <c r="I78" i="25"/>
  <c r="I77" i="25"/>
  <c r="I76" i="25"/>
  <c r="J75" i="25"/>
  <c r="J74" i="25"/>
  <c r="I80" i="26"/>
  <c r="I79" i="26"/>
  <c r="I78" i="26"/>
  <c r="I77" i="26"/>
  <c r="I76" i="26"/>
  <c r="J75" i="26"/>
  <c r="J74" i="26"/>
  <c r="I80" i="27"/>
  <c r="I79" i="27"/>
  <c r="I78" i="27"/>
  <c r="I77" i="27"/>
  <c r="I76" i="27"/>
  <c r="J75" i="27"/>
  <c r="J74" i="27"/>
  <c r="I80" i="22"/>
  <c r="I79" i="22"/>
  <c r="I78" i="22"/>
  <c r="I77" i="22"/>
  <c r="I76" i="22"/>
  <c r="J75" i="22"/>
  <c r="J74" i="22"/>
  <c r="I80" i="23"/>
  <c r="I79" i="23"/>
  <c r="I78" i="23"/>
  <c r="I77" i="23"/>
  <c r="I76" i="23"/>
  <c r="J75" i="23"/>
  <c r="J74" i="23"/>
  <c r="I80" i="24"/>
  <c r="I79" i="24"/>
  <c r="I78" i="24"/>
  <c r="I77" i="24"/>
  <c r="I76" i="24"/>
  <c r="J75" i="24"/>
  <c r="J74" i="24"/>
  <c r="I80" i="20"/>
  <c r="I79" i="20"/>
  <c r="I78" i="20"/>
  <c r="I77" i="20"/>
  <c r="I76" i="20"/>
  <c r="J75" i="20"/>
  <c r="J74" i="20"/>
  <c r="E62" i="33" l="1"/>
  <c r="C61" i="33"/>
  <c r="G61" i="33"/>
  <c r="F61" i="33"/>
  <c r="H61" i="33"/>
  <c r="D61" i="33"/>
  <c r="E61" i="33"/>
  <c r="G62" i="33"/>
  <c r="C62" i="33"/>
  <c r="D62" i="33"/>
  <c r="F62" i="33"/>
  <c r="H62" i="33"/>
  <c r="I106" i="33"/>
  <c r="H105" i="35"/>
  <c r="G105" i="35"/>
  <c r="F105" i="35"/>
  <c r="E105" i="35"/>
  <c r="D105" i="35"/>
  <c r="C105" i="35"/>
  <c r="H89" i="35"/>
  <c r="G89" i="35"/>
  <c r="F89" i="35"/>
  <c r="E89" i="35"/>
  <c r="D89" i="35"/>
  <c r="C89" i="35"/>
  <c r="D83" i="35"/>
  <c r="I79" i="35"/>
  <c r="I78" i="35"/>
  <c r="F78" i="35"/>
  <c r="I77" i="35"/>
  <c r="I76" i="35"/>
  <c r="J75" i="35"/>
  <c r="J74" i="35"/>
  <c r="H73" i="35"/>
  <c r="J85" i="35" s="1"/>
  <c r="G73" i="35"/>
  <c r="F73" i="35"/>
  <c r="E73" i="35"/>
  <c r="D73" i="35"/>
  <c r="C73" i="35"/>
  <c r="H55" i="35"/>
  <c r="G55" i="35"/>
  <c r="F55" i="35"/>
  <c r="E55" i="35"/>
  <c r="D55" i="35"/>
  <c r="C55" i="35"/>
  <c r="H54" i="35"/>
  <c r="G54" i="35"/>
  <c r="F54" i="35"/>
  <c r="E54" i="35"/>
  <c r="D54" i="35"/>
  <c r="C54" i="35"/>
  <c r="H50" i="35"/>
  <c r="H51" i="35" s="1"/>
  <c r="G50" i="35"/>
  <c r="G51" i="35" s="1"/>
  <c r="F50" i="35"/>
  <c r="F51" i="35" s="1"/>
  <c r="E50" i="35"/>
  <c r="E51" i="35" s="1"/>
  <c r="D50" i="35"/>
  <c r="D51" i="35" s="1"/>
  <c r="C50" i="35"/>
  <c r="C51" i="35" s="1"/>
  <c r="H37" i="35"/>
  <c r="G37" i="35"/>
  <c r="F37" i="35"/>
  <c r="E37" i="35"/>
  <c r="D37" i="35"/>
  <c r="C37" i="35"/>
  <c r="H28" i="35"/>
  <c r="G28" i="35"/>
  <c r="F28" i="35"/>
  <c r="E28" i="35"/>
  <c r="D28" i="35"/>
  <c r="C28" i="35"/>
  <c r="H17" i="35"/>
  <c r="G17" i="35"/>
  <c r="F17" i="35"/>
  <c r="E17" i="35"/>
  <c r="D17" i="35"/>
  <c r="C17" i="35"/>
  <c r="H12" i="35"/>
  <c r="G12" i="35"/>
  <c r="F12" i="35"/>
  <c r="E12" i="35"/>
  <c r="D12" i="35"/>
  <c r="C12" i="35"/>
  <c r="H7" i="35"/>
  <c r="G7" i="35"/>
  <c r="F7" i="35"/>
  <c r="E7" i="35"/>
  <c r="D7" i="35"/>
  <c r="C7" i="35"/>
  <c r="H2" i="35"/>
  <c r="G2" i="35"/>
  <c r="F2" i="35"/>
  <c r="E2" i="35"/>
  <c r="D2" i="35"/>
  <c r="C2" i="35"/>
  <c r="H105" i="34"/>
  <c r="G105" i="34"/>
  <c r="F105" i="34"/>
  <c r="E105" i="34"/>
  <c r="D105" i="34"/>
  <c r="C105" i="34"/>
  <c r="H89" i="34"/>
  <c r="G89" i="34"/>
  <c r="F89" i="34"/>
  <c r="E89" i="34"/>
  <c r="D89" i="34"/>
  <c r="C89" i="34"/>
  <c r="D83" i="34"/>
  <c r="I79" i="34"/>
  <c r="I78" i="34"/>
  <c r="F78" i="34"/>
  <c r="I77" i="34"/>
  <c r="I76" i="34"/>
  <c r="J75" i="34"/>
  <c r="J74" i="34"/>
  <c r="H73" i="34"/>
  <c r="J85" i="34" s="1"/>
  <c r="G73" i="34"/>
  <c r="F73" i="34"/>
  <c r="E73" i="34"/>
  <c r="D73" i="34"/>
  <c r="C73" i="34"/>
  <c r="H55" i="34"/>
  <c r="G55" i="34"/>
  <c r="F55" i="34"/>
  <c r="E55" i="34"/>
  <c r="D55" i="34"/>
  <c r="C55" i="34"/>
  <c r="H54" i="34"/>
  <c r="G54" i="34"/>
  <c r="F54" i="34"/>
  <c r="E54" i="34"/>
  <c r="D54" i="34"/>
  <c r="C54" i="34"/>
  <c r="H50" i="34"/>
  <c r="H51" i="34" s="1"/>
  <c r="G50" i="34"/>
  <c r="G51" i="34" s="1"/>
  <c r="F50" i="34"/>
  <c r="F51" i="34" s="1"/>
  <c r="E50" i="34"/>
  <c r="E51" i="34" s="1"/>
  <c r="D50" i="34"/>
  <c r="D51" i="34" s="1"/>
  <c r="C50" i="34"/>
  <c r="C51" i="34" s="1"/>
  <c r="H37" i="34"/>
  <c r="G37" i="34"/>
  <c r="F37" i="34"/>
  <c r="E37" i="34"/>
  <c r="D37" i="34"/>
  <c r="C37" i="34"/>
  <c r="H28" i="34"/>
  <c r="G28" i="34"/>
  <c r="F28" i="34"/>
  <c r="E28" i="34"/>
  <c r="D28" i="34"/>
  <c r="C28" i="34"/>
  <c r="H17" i="34"/>
  <c r="G17" i="34"/>
  <c r="F17" i="34"/>
  <c r="E17" i="34"/>
  <c r="D17" i="34"/>
  <c r="C17" i="34"/>
  <c r="H12" i="34"/>
  <c r="G12" i="34"/>
  <c r="F12" i="34"/>
  <c r="E12" i="34"/>
  <c r="D12" i="34"/>
  <c r="C12" i="34"/>
  <c r="H7" i="34"/>
  <c r="G7" i="34"/>
  <c r="F7" i="34"/>
  <c r="E7" i="34"/>
  <c r="D7" i="34"/>
  <c r="C7" i="34"/>
  <c r="H2" i="34"/>
  <c r="G2" i="34"/>
  <c r="F2" i="34"/>
  <c r="E2" i="34"/>
  <c r="D2" i="34"/>
  <c r="C2" i="34"/>
  <c r="H105" i="32"/>
  <c r="G105" i="32"/>
  <c r="F105" i="32"/>
  <c r="E105" i="32"/>
  <c r="D105" i="32"/>
  <c r="C105" i="32"/>
  <c r="H89" i="32"/>
  <c r="G89" i="32"/>
  <c r="F89" i="32"/>
  <c r="E89" i="32"/>
  <c r="D89" i="32"/>
  <c r="C89" i="32"/>
  <c r="D83" i="32"/>
  <c r="I79" i="32"/>
  <c r="I78" i="32"/>
  <c r="F78" i="32"/>
  <c r="I77" i="32"/>
  <c r="I76" i="32"/>
  <c r="J75" i="32"/>
  <c r="J74" i="32"/>
  <c r="H73" i="32"/>
  <c r="J85" i="32" s="1"/>
  <c r="G73" i="32"/>
  <c r="F73" i="32"/>
  <c r="E73" i="32"/>
  <c r="D73" i="32"/>
  <c r="C73" i="32"/>
  <c r="H55" i="32"/>
  <c r="G55" i="32"/>
  <c r="F55" i="32"/>
  <c r="E55" i="32"/>
  <c r="D55" i="32"/>
  <c r="C55" i="32"/>
  <c r="H54" i="32"/>
  <c r="G54" i="32"/>
  <c r="F54" i="32"/>
  <c r="E54" i="32"/>
  <c r="D54" i="32"/>
  <c r="C54" i="32"/>
  <c r="H50" i="32"/>
  <c r="H51" i="32" s="1"/>
  <c r="G50" i="32"/>
  <c r="G51" i="32" s="1"/>
  <c r="F50" i="32"/>
  <c r="F51" i="32" s="1"/>
  <c r="E50" i="32"/>
  <c r="E51" i="32" s="1"/>
  <c r="D50" i="32"/>
  <c r="D51" i="32" s="1"/>
  <c r="C50" i="32"/>
  <c r="C51" i="32" s="1"/>
  <c r="H37" i="32"/>
  <c r="H61" i="32" s="1"/>
  <c r="G37" i="32"/>
  <c r="G61" i="32" s="1"/>
  <c r="F37" i="32"/>
  <c r="F61" i="32" s="1"/>
  <c r="E37" i="32"/>
  <c r="E61" i="32" s="1"/>
  <c r="E60" i="32" s="1"/>
  <c r="D37" i="32"/>
  <c r="D61" i="32" s="1"/>
  <c r="C37" i="32"/>
  <c r="H28" i="32"/>
  <c r="G28" i="32"/>
  <c r="F28" i="32"/>
  <c r="E28" i="32"/>
  <c r="D28" i="32"/>
  <c r="C28" i="32"/>
  <c r="H17" i="32"/>
  <c r="G17" i="32"/>
  <c r="F17" i="32"/>
  <c r="E17" i="32"/>
  <c r="D17" i="32"/>
  <c r="C17" i="32"/>
  <c r="H12" i="32"/>
  <c r="G12" i="32"/>
  <c r="F12" i="32"/>
  <c r="E12" i="32"/>
  <c r="D12" i="32"/>
  <c r="C12" i="32"/>
  <c r="H7" i="32"/>
  <c r="G7" i="32"/>
  <c r="F7" i="32"/>
  <c r="E7" i="32"/>
  <c r="D7" i="32"/>
  <c r="C7" i="32"/>
  <c r="H2" i="32"/>
  <c r="G2" i="32"/>
  <c r="F2" i="32"/>
  <c r="E2" i="32"/>
  <c r="D2" i="32"/>
  <c r="C2" i="32"/>
  <c r="I79" i="31"/>
  <c r="I78" i="31"/>
  <c r="I77" i="31"/>
  <c r="I76" i="31"/>
  <c r="J75" i="31"/>
  <c r="J74" i="31"/>
  <c r="H105" i="31"/>
  <c r="G105" i="31"/>
  <c r="F105" i="31"/>
  <c r="E105" i="31"/>
  <c r="D105" i="31"/>
  <c r="C105" i="31"/>
  <c r="H89" i="31"/>
  <c r="G89" i="31"/>
  <c r="F89" i="31"/>
  <c r="E89" i="31"/>
  <c r="D89" i="31"/>
  <c r="C89" i="31"/>
  <c r="D83" i="31"/>
  <c r="F78" i="31"/>
  <c r="H73" i="31"/>
  <c r="J85" i="31" s="1"/>
  <c r="G73" i="31"/>
  <c r="F73" i="31"/>
  <c r="E73" i="31"/>
  <c r="D73" i="31"/>
  <c r="C73" i="31"/>
  <c r="H55" i="31"/>
  <c r="G55" i="31"/>
  <c r="F55" i="31"/>
  <c r="E55" i="31"/>
  <c r="D55" i="31"/>
  <c r="C55" i="31"/>
  <c r="H54" i="31"/>
  <c r="G54" i="31"/>
  <c r="F54" i="31"/>
  <c r="E54" i="31"/>
  <c r="D54" i="31"/>
  <c r="C54" i="31"/>
  <c r="H50" i="31"/>
  <c r="H51" i="31" s="1"/>
  <c r="G50" i="31"/>
  <c r="G51" i="31" s="1"/>
  <c r="F50" i="31"/>
  <c r="F51" i="31" s="1"/>
  <c r="E50" i="31"/>
  <c r="E51" i="31" s="1"/>
  <c r="D50" i="31"/>
  <c r="D51" i="31" s="1"/>
  <c r="C50" i="31"/>
  <c r="C51" i="31" s="1"/>
  <c r="H37" i="31"/>
  <c r="G37" i="31"/>
  <c r="F37" i="31"/>
  <c r="E37" i="31"/>
  <c r="D37" i="31"/>
  <c r="C37" i="31"/>
  <c r="H28" i="31"/>
  <c r="G28" i="31"/>
  <c r="F28" i="31"/>
  <c r="E28" i="31"/>
  <c r="D28" i="31"/>
  <c r="C28" i="31"/>
  <c r="H17" i="31"/>
  <c r="G17" i="31"/>
  <c r="F17" i="31"/>
  <c r="E17" i="31"/>
  <c r="D17" i="31"/>
  <c r="C17" i="31"/>
  <c r="H12" i="31"/>
  <c r="G12" i="31"/>
  <c r="F12" i="31"/>
  <c r="E12" i="31"/>
  <c r="D12" i="31"/>
  <c r="C12" i="31"/>
  <c r="H7" i="31"/>
  <c r="G7" i="31"/>
  <c r="F7" i="31"/>
  <c r="E7" i="31"/>
  <c r="D7" i="31"/>
  <c r="C7" i="31"/>
  <c r="H2" i="31"/>
  <c r="G2" i="31"/>
  <c r="F2" i="31"/>
  <c r="E2" i="31"/>
  <c r="D2" i="31"/>
  <c r="C2" i="31"/>
  <c r="H89" i="30"/>
  <c r="G89" i="30"/>
  <c r="F89" i="30"/>
  <c r="E89" i="30"/>
  <c r="D89" i="30"/>
  <c r="C89" i="30"/>
  <c r="D83" i="30"/>
  <c r="I79" i="30"/>
  <c r="I78" i="30"/>
  <c r="F78" i="30"/>
  <c r="I77" i="30"/>
  <c r="I76" i="30"/>
  <c r="J75" i="30"/>
  <c r="J74" i="30"/>
  <c r="H73" i="30"/>
  <c r="J85" i="30" s="1"/>
  <c r="G73" i="30"/>
  <c r="F73" i="30"/>
  <c r="E73" i="30"/>
  <c r="D73" i="30"/>
  <c r="C73" i="30"/>
  <c r="H55" i="30"/>
  <c r="G55" i="30"/>
  <c r="F55" i="30"/>
  <c r="E55" i="30"/>
  <c r="D55" i="30"/>
  <c r="C55" i="30"/>
  <c r="H54" i="30"/>
  <c r="G54" i="30"/>
  <c r="F54" i="30"/>
  <c r="E54" i="30"/>
  <c r="D54" i="30"/>
  <c r="C54" i="30"/>
  <c r="H50" i="30"/>
  <c r="H51" i="30" s="1"/>
  <c r="G50" i="30"/>
  <c r="G51" i="30" s="1"/>
  <c r="F50" i="30"/>
  <c r="F51" i="30" s="1"/>
  <c r="E50" i="30"/>
  <c r="E51" i="30" s="1"/>
  <c r="D50" i="30"/>
  <c r="D51" i="30" s="1"/>
  <c r="C50" i="30"/>
  <c r="C51" i="30" s="1"/>
  <c r="H37" i="30"/>
  <c r="H61" i="30" s="1"/>
  <c r="G37" i="30"/>
  <c r="G61" i="30" s="1"/>
  <c r="F37" i="30"/>
  <c r="F61" i="30" s="1"/>
  <c r="E37" i="30"/>
  <c r="E61" i="30" s="1"/>
  <c r="D37" i="30"/>
  <c r="D61" i="30" s="1"/>
  <c r="C37" i="30"/>
  <c r="C61" i="30" s="1"/>
  <c r="H28" i="30"/>
  <c r="G28" i="30"/>
  <c r="F28" i="30"/>
  <c r="E28" i="30"/>
  <c r="D28" i="30"/>
  <c r="C28" i="30"/>
  <c r="H17" i="30"/>
  <c r="G17" i="30"/>
  <c r="F17" i="30"/>
  <c r="E17" i="30"/>
  <c r="D17" i="30"/>
  <c r="C17" i="30"/>
  <c r="H12" i="30"/>
  <c r="G12" i="30"/>
  <c r="F12" i="30"/>
  <c r="E12" i="30"/>
  <c r="D12" i="30"/>
  <c r="C12" i="30"/>
  <c r="H7" i="30"/>
  <c r="G7" i="30"/>
  <c r="F7" i="30"/>
  <c r="E7" i="30"/>
  <c r="D7" i="30"/>
  <c r="C7" i="30"/>
  <c r="H2" i="30"/>
  <c r="G2" i="30"/>
  <c r="F2" i="30"/>
  <c r="E2" i="30"/>
  <c r="D2" i="30"/>
  <c r="C2" i="30"/>
  <c r="J20" i="1"/>
  <c r="H22" i="1" s="1"/>
  <c r="D20" i="1"/>
  <c r="A20" i="1"/>
  <c r="J19" i="1"/>
  <c r="H21" i="1" s="1"/>
  <c r="D19" i="1"/>
  <c r="I9" i="1"/>
  <c r="I79" i="6"/>
  <c r="I78" i="6"/>
  <c r="I77" i="6"/>
  <c r="I76" i="6"/>
  <c r="J75" i="6"/>
  <c r="J74" i="6"/>
  <c r="D9" i="14"/>
  <c r="F62" i="35" l="1"/>
  <c r="D62" i="32"/>
  <c r="D62" i="34"/>
  <c r="F62" i="31"/>
  <c r="G62" i="32"/>
  <c r="H62" i="34"/>
  <c r="H62" i="32"/>
  <c r="G62" i="31"/>
  <c r="E61" i="31"/>
  <c r="C61" i="34"/>
  <c r="H61" i="35"/>
  <c r="F61" i="31"/>
  <c r="C61" i="32"/>
  <c r="D61" i="34"/>
  <c r="H61" i="34"/>
  <c r="E61" i="35"/>
  <c r="G61" i="34"/>
  <c r="C61" i="31"/>
  <c r="G61" i="31"/>
  <c r="E61" i="34"/>
  <c r="F61" i="35"/>
  <c r="D61" i="35"/>
  <c r="D61" i="31"/>
  <c r="H61" i="31"/>
  <c r="F61" i="34"/>
  <c r="C61" i="35"/>
  <c r="G61" i="35"/>
  <c r="D62" i="35"/>
  <c r="H62" i="35"/>
  <c r="C62" i="34"/>
  <c r="G62" i="34"/>
  <c r="C62" i="32"/>
  <c r="C62" i="31"/>
  <c r="D62" i="30"/>
  <c r="K25" i="18"/>
  <c r="H62" i="30"/>
  <c r="D62" i="31"/>
  <c r="C62" i="35"/>
  <c r="H62" i="31"/>
  <c r="E62" i="34"/>
  <c r="F62" i="34"/>
  <c r="F62" i="32"/>
  <c r="E62" i="32"/>
  <c r="E62" i="31"/>
  <c r="E62" i="30"/>
  <c r="F62" i="30"/>
  <c r="E62" i="35"/>
  <c r="I106" i="30"/>
  <c r="I106" i="35"/>
  <c r="G62" i="35"/>
  <c r="I106" i="34"/>
  <c r="I106" i="32"/>
  <c r="I106" i="31"/>
  <c r="C62" i="30"/>
  <c r="G62" i="30"/>
  <c r="H51" i="14"/>
  <c r="G51" i="14"/>
  <c r="F51" i="14"/>
  <c r="E51" i="14"/>
  <c r="D51" i="14"/>
  <c r="C51" i="14"/>
  <c r="M9" i="14"/>
  <c r="L9" i="14"/>
  <c r="K9" i="14"/>
  <c r="J9" i="14"/>
  <c r="I9" i="14"/>
  <c r="H9" i="14"/>
  <c r="G9" i="14"/>
  <c r="F9" i="14"/>
  <c r="E9" i="14"/>
  <c r="C47" i="2" l="1"/>
  <c r="C46" i="2"/>
  <c r="C17" i="2" l="1"/>
  <c r="C16" i="2"/>
  <c r="N5" i="17" l="1"/>
  <c r="E4" i="28" l="1"/>
  <c r="E5" i="28"/>
  <c r="G22" i="18"/>
  <c r="G4" i="18"/>
  <c r="E6" i="28" l="1"/>
  <c r="H48" i="14" l="1"/>
  <c r="G48" i="14"/>
  <c r="R41" i="15"/>
  <c r="R46" i="15" s="1"/>
  <c r="Q41" i="15"/>
  <c r="Q46" i="15" s="1"/>
  <c r="P41" i="15"/>
  <c r="P46" i="15" s="1"/>
  <c r="U6" i="15" l="1"/>
  <c r="T6" i="15"/>
  <c r="S6" i="15"/>
  <c r="R6" i="15"/>
  <c r="L28" i="13" l="1"/>
  <c r="K28" i="13"/>
  <c r="R66" i="15" s="1"/>
  <c r="J28" i="13"/>
  <c r="J33" i="13" l="1"/>
  <c r="Q69" i="15" s="1"/>
  <c r="Q66" i="15"/>
  <c r="J34" i="13"/>
  <c r="F16" i="36" s="1"/>
  <c r="F18" i="40" s="1"/>
  <c r="S66" i="15"/>
  <c r="K33" i="13"/>
  <c r="R69" i="15" s="1"/>
  <c r="L33" i="13"/>
  <c r="S69" i="15" s="1"/>
  <c r="L34" i="13" l="1"/>
  <c r="H16" i="36" s="1"/>
  <c r="F20" i="40" s="1"/>
  <c r="F62" i="14"/>
  <c r="H62" i="14"/>
  <c r="K34" i="13"/>
  <c r="G62" i="14" l="1"/>
  <c r="G16" i="36"/>
  <c r="F19" i="40" s="1"/>
  <c r="H105" i="25"/>
  <c r="G105" i="25"/>
  <c r="F105" i="25"/>
  <c r="E105" i="25"/>
  <c r="D105" i="25"/>
  <c r="C105" i="25"/>
  <c r="H89" i="25"/>
  <c r="G89" i="25"/>
  <c r="F89" i="25"/>
  <c r="E89" i="25"/>
  <c r="D89" i="25"/>
  <c r="C89" i="25"/>
  <c r="E84" i="25"/>
  <c r="F78" i="25"/>
  <c r="H73" i="25"/>
  <c r="J85" i="25" s="1"/>
  <c r="G73" i="25"/>
  <c r="F73" i="25"/>
  <c r="E73" i="25"/>
  <c r="D73" i="25"/>
  <c r="C73" i="25"/>
  <c r="H105" i="26"/>
  <c r="G105" i="26"/>
  <c r="F105" i="26"/>
  <c r="E105" i="26"/>
  <c r="D105" i="26"/>
  <c r="C105" i="26"/>
  <c r="H89" i="26"/>
  <c r="G89" i="26"/>
  <c r="F89" i="26"/>
  <c r="E89" i="26"/>
  <c r="D89" i="26"/>
  <c r="C89" i="26"/>
  <c r="E84" i="26"/>
  <c r="F78" i="26"/>
  <c r="H73" i="26"/>
  <c r="J85" i="26" s="1"/>
  <c r="G73" i="26"/>
  <c r="F73" i="26"/>
  <c r="E73" i="26"/>
  <c r="D73" i="26"/>
  <c r="C73" i="26"/>
  <c r="H105" i="27"/>
  <c r="G105" i="27"/>
  <c r="F105" i="27"/>
  <c r="E105" i="27"/>
  <c r="D105" i="27"/>
  <c r="C105" i="27"/>
  <c r="H89" i="27"/>
  <c r="G89" i="27"/>
  <c r="F89" i="27"/>
  <c r="E89" i="27"/>
  <c r="D89" i="27"/>
  <c r="C89" i="27"/>
  <c r="E84" i="27"/>
  <c r="F78" i="27"/>
  <c r="H73" i="27"/>
  <c r="J85" i="27" s="1"/>
  <c r="G73" i="27"/>
  <c r="F73" i="27"/>
  <c r="E73" i="27"/>
  <c r="D73" i="27"/>
  <c r="C73" i="27"/>
  <c r="H55" i="25"/>
  <c r="G55" i="25"/>
  <c r="F55" i="25"/>
  <c r="E55" i="25"/>
  <c r="D55" i="25"/>
  <c r="C55" i="25"/>
  <c r="H54" i="25"/>
  <c r="G54" i="25"/>
  <c r="F54" i="25"/>
  <c r="E54" i="25"/>
  <c r="D54" i="25"/>
  <c r="C54" i="25"/>
  <c r="H50" i="25"/>
  <c r="H51" i="25" s="1"/>
  <c r="G50" i="25"/>
  <c r="G51" i="25" s="1"/>
  <c r="F50" i="25"/>
  <c r="F51" i="25" s="1"/>
  <c r="E50" i="25"/>
  <c r="E51" i="25" s="1"/>
  <c r="D50" i="25"/>
  <c r="D51" i="25" s="1"/>
  <c r="C50" i="25"/>
  <c r="C51" i="25" s="1"/>
  <c r="H37" i="25"/>
  <c r="G37" i="25"/>
  <c r="F37" i="25"/>
  <c r="E37" i="25"/>
  <c r="D37" i="25"/>
  <c r="C37" i="25"/>
  <c r="H55" i="26"/>
  <c r="G55" i="26"/>
  <c r="F55" i="26"/>
  <c r="E55" i="26"/>
  <c r="D55" i="26"/>
  <c r="C55" i="26"/>
  <c r="H54" i="26"/>
  <c r="G54" i="26"/>
  <c r="F54" i="26"/>
  <c r="E54" i="26"/>
  <c r="D54" i="26"/>
  <c r="C54" i="26"/>
  <c r="H50" i="26"/>
  <c r="H51" i="26" s="1"/>
  <c r="G50" i="26"/>
  <c r="G51" i="26" s="1"/>
  <c r="F50" i="26"/>
  <c r="F51" i="26" s="1"/>
  <c r="E50" i="26"/>
  <c r="E51" i="26" s="1"/>
  <c r="D50" i="26"/>
  <c r="D51" i="26" s="1"/>
  <c r="C50" i="26"/>
  <c r="C51" i="26" s="1"/>
  <c r="H37" i="26"/>
  <c r="G37" i="26"/>
  <c r="F37" i="26"/>
  <c r="E37" i="26"/>
  <c r="D37" i="26"/>
  <c r="C37" i="26"/>
  <c r="H55" i="27"/>
  <c r="G55" i="27"/>
  <c r="F55" i="27"/>
  <c r="E55" i="27"/>
  <c r="D55" i="27"/>
  <c r="C55" i="27"/>
  <c r="H54" i="27"/>
  <c r="G54" i="27"/>
  <c r="F54" i="27"/>
  <c r="E54" i="27"/>
  <c r="D54" i="27"/>
  <c r="C54" i="27"/>
  <c r="H50" i="27"/>
  <c r="H51" i="27" s="1"/>
  <c r="G50" i="27"/>
  <c r="G51" i="27" s="1"/>
  <c r="F50" i="27"/>
  <c r="F51" i="27" s="1"/>
  <c r="E50" i="27"/>
  <c r="E51" i="27" s="1"/>
  <c r="D50" i="27"/>
  <c r="D51" i="27" s="1"/>
  <c r="C50" i="27"/>
  <c r="C51" i="27" s="1"/>
  <c r="H37" i="27"/>
  <c r="G37" i="27"/>
  <c r="F37" i="27"/>
  <c r="E37" i="27"/>
  <c r="D37" i="27"/>
  <c r="C37" i="27"/>
  <c r="H28" i="25"/>
  <c r="G28" i="25"/>
  <c r="F28" i="25"/>
  <c r="E28" i="25"/>
  <c r="D28" i="25"/>
  <c r="C28" i="25"/>
  <c r="H17" i="25"/>
  <c r="G17" i="25"/>
  <c r="F17" i="25"/>
  <c r="E17" i="25"/>
  <c r="D17" i="25"/>
  <c r="C17" i="25"/>
  <c r="H12" i="25"/>
  <c r="G12" i="25"/>
  <c r="F12" i="25"/>
  <c r="E12" i="25"/>
  <c r="D12" i="25"/>
  <c r="C12" i="25"/>
  <c r="H7" i="25"/>
  <c r="G7" i="25"/>
  <c r="F7" i="25"/>
  <c r="E7" i="25"/>
  <c r="D7" i="25"/>
  <c r="C7" i="25"/>
  <c r="H2" i="25"/>
  <c r="G2" i="25"/>
  <c r="F2" i="25"/>
  <c r="E2" i="25"/>
  <c r="D2" i="25"/>
  <c r="C2" i="25"/>
  <c r="H28" i="26"/>
  <c r="G28" i="26"/>
  <c r="F28" i="26"/>
  <c r="E28" i="26"/>
  <c r="D28" i="26"/>
  <c r="C28" i="26"/>
  <c r="H17" i="26"/>
  <c r="G17" i="26"/>
  <c r="F17" i="26"/>
  <c r="E17" i="26"/>
  <c r="D17" i="26"/>
  <c r="C17" i="26"/>
  <c r="H12" i="26"/>
  <c r="G12" i="26"/>
  <c r="F12" i="26"/>
  <c r="E12" i="26"/>
  <c r="D12" i="26"/>
  <c r="C12" i="26"/>
  <c r="H7" i="26"/>
  <c r="G7" i="26"/>
  <c r="F7" i="26"/>
  <c r="E7" i="26"/>
  <c r="D7" i="26"/>
  <c r="C7" i="26"/>
  <c r="H2" i="26"/>
  <c r="G2" i="26"/>
  <c r="F2" i="26"/>
  <c r="E2" i="26"/>
  <c r="D2" i="26"/>
  <c r="C2" i="26"/>
  <c r="H28" i="27"/>
  <c r="G28" i="27"/>
  <c r="F28" i="27"/>
  <c r="E28" i="27"/>
  <c r="D28" i="27"/>
  <c r="C28" i="27"/>
  <c r="H17" i="27"/>
  <c r="G17" i="27"/>
  <c r="F17" i="27"/>
  <c r="E17" i="27"/>
  <c r="D17" i="27"/>
  <c r="C17" i="27"/>
  <c r="H12" i="27"/>
  <c r="G12" i="27"/>
  <c r="F12" i="27"/>
  <c r="E12" i="27"/>
  <c r="D12" i="27"/>
  <c r="C12" i="27"/>
  <c r="H7" i="27"/>
  <c r="G7" i="27"/>
  <c r="F7" i="27"/>
  <c r="E7" i="27"/>
  <c r="D7" i="27"/>
  <c r="C7" i="27"/>
  <c r="H2" i="27"/>
  <c r="G2" i="27"/>
  <c r="F2" i="27"/>
  <c r="E2" i="27"/>
  <c r="D2" i="27"/>
  <c r="C2" i="27"/>
  <c r="H64" i="14"/>
  <c r="G64" i="14"/>
  <c r="F64" i="14"/>
  <c r="E64" i="14"/>
  <c r="D35" i="1"/>
  <c r="G45" i="18" s="1"/>
  <c r="D34" i="1"/>
  <c r="D33" i="1"/>
  <c r="D32" i="1"/>
  <c r="Q74" i="15"/>
  <c r="J29" i="13" s="1"/>
  <c r="Q67" i="15" l="1"/>
  <c r="G62" i="25"/>
  <c r="G62" i="26"/>
  <c r="C62" i="26"/>
  <c r="G62" i="27"/>
  <c r="C62" i="27"/>
  <c r="D61" i="27"/>
  <c r="E61" i="27"/>
  <c r="E61" i="26"/>
  <c r="E61" i="25"/>
  <c r="F61" i="27"/>
  <c r="F61" i="26"/>
  <c r="F61" i="25"/>
  <c r="C61" i="27"/>
  <c r="G61" i="27"/>
  <c r="C61" i="26"/>
  <c r="G61" i="26"/>
  <c r="C61" i="25"/>
  <c r="G61" i="25"/>
  <c r="H61" i="27"/>
  <c r="D61" i="26"/>
  <c r="H61" i="26"/>
  <c r="D61" i="25"/>
  <c r="H61" i="25"/>
  <c r="D62" i="25"/>
  <c r="H62" i="25"/>
  <c r="F62" i="27"/>
  <c r="E62" i="25"/>
  <c r="F62" i="25"/>
  <c r="D62" i="26"/>
  <c r="H62" i="26"/>
  <c r="E62" i="26"/>
  <c r="F62" i="26"/>
  <c r="D62" i="27"/>
  <c r="H62" i="27"/>
  <c r="E62" i="27"/>
  <c r="R7" i="15"/>
  <c r="S7" i="15"/>
  <c r="S8" i="15" s="1"/>
  <c r="U7" i="15"/>
  <c r="U8" i="15" s="1"/>
  <c r="T7" i="15"/>
  <c r="T8" i="15" s="1"/>
  <c r="R74" i="15"/>
  <c r="K29" i="13" s="1"/>
  <c r="P74" i="15"/>
  <c r="I29" i="13" s="1"/>
  <c r="E54" i="14"/>
  <c r="C62" i="25"/>
  <c r="I106" i="25"/>
  <c r="I106" i="26"/>
  <c r="I106" i="27"/>
  <c r="J32" i="13" l="1"/>
  <c r="Q68" i="15" s="1"/>
  <c r="P67" i="15"/>
  <c r="K32" i="13"/>
  <c r="R68" i="15" s="1"/>
  <c r="F54" i="14"/>
  <c r="H54" i="14"/>
  <c r="G54" i="14"/>
  <c r="R67" i="15" l="1"/>
  <c r="I32" i="13"/>
  <c r="P68" i="15" s="1"/>
  <c r="P44" i="15"/>
  <c r="G49" i="14" s="1"/>
  <c r="G56" i="14" s="1"/>
  <c r="P42" i="15"/>
  <c r="R42" i="15"/>
  <c r="R44" i="15"/>
  <c r="Q42" i="15"/>
  <c r="Q44" i="15"/>
  <c r="H49" i="14" s="1"/>
  <c r="H56" i="14" s="1"/>
  <c r="H105" i="22"/>
  <c r="G105" i="22"/>
  <c r="F105" i="22"/>
  <c r="E105" i="22"/>
  <c r="D105" i="22"/>
  <c r="C105" i="22"/>
  <c r="C105" i="23"/>
  <c r="H105" i="23"/>
  <c r="G105" i="23"/>
  <c r="F105" i="23"/>
  <c r="E105" i="23"/>
  <c r="D105" i="23"/>
  <c r="C105" i="24"/>
  <c r="H105" i="24"/>
  <c r="G105" i="24"/>
  <c r="F105" i="24"/>
  <c r="E105" i="24"/>
  <c r="D105" i="24"/>
  <c r="C105" i="20"/>
  <c r="H105" i="20"/>
  <c r="G105" i="20"/>
  <c r="F105" i="20"/>
  <c r="E105" i="20"/>
  <c r="D105" i="20"/>
  <c r="H5" i="4" l="1"/>
  <c r="H35" i="4" s="1"/>
  <c r="H4" i="4"/>
  <c r="G5" i="4"/>
  <c r="G4" i="4"/>
  <c r="F5" i="4"/>
  <c r="F35" i="4" s="1"/>
  <c r="F4" i="4"/>
  <c r="E5" i="4"/>
  <c r="E35" i="4" s="1"/>
  <c r="E4" i="4"/>
  <c r="D5" i="4"/>
  <c r="D4" i="4"/>
  <c r="C5" i="4"/>
  <c r="C4" i="4"/>
  <c r="H5" i="3"/>
  <c r="H4" i="3"/>
  <c r="G5" i="3"/>
  <c r="F5" i="3"/>
  <c r="F4" i="3"/>
  <c r="E5" i="3"/>
  <c r="E4" i="3"/>
  <c r="D5" i="3"/>
  <c r="C5" i="3"/>
  <c r="E34" i="4" l="1"/>
  <c r="F34" i="4"/>
  <c r="H34" i="4"/>
  <c r="Q6" i="15" l="1"/>
  <c r="P6" i="15"/>
  <c r="O6" i="15"/>
  <c r="N6" i="15"/>
  <c r="M6" i="15"/>
  <c r="L6" i="15"/>
  <c r="E48" i="14" l="1"/>
  <c r="D48" i="14"/>
  <c r="C48" i="14"/>
  <c r="O41" i="15"/>
  <c r="O46" i="15" s="1"/>
  <c r="N41" i="15"/>
  <c r="N46" i="15" s="1"/>
  <c r="M41" i="15"/>
  <c r="M46" i="15" s="1"/>
  <c r="L41" i="15"/>
  <c r="L46" i="15" s="1"/>
  <c r="K41" i="15"/>
  <c r="K46" i="15" s="1"/>
  <c r="J41" i="15"/>
  <c r="J46" i="15" s="1"/>
  <c r="B88" i="15" l="1"/>
  <c r="A88" i="15"/>
  <c r="D64" i="14" l="1"/>
  <c r="C64" i="14"/>
  <c r="M22" i="14"/>
  <c r="L22" i="14"/>
  <c r="K22" i="14"/>
  <c r="J22" i="14"/>
  <c r="I22" i="14"/>
  <c r="H22" i="14"/>
  <c r="G22" i="14"/>
  <c r="F22" i="14"/>
  <c r="D22" i="14"/>
  <c r="C22" i="14"/>
  <c r="F8" i="15" l="1"/>
  <c r="D34" i="36"/>
  <c r="K26" i="18"/>
  <c r="K27" i="18" s="1"/>
  <c r="K8" i="18"/>
  <c r="Q2" i="14"/>
  <c r="D2" i="14"/>
  <c r="D31" i="1"/>
  <c r="D30" i="1"/>
  <c r="B45" i="18" s="1"/>
  <c r="D29" i="1"/>
  <c r="D28" i="1"/>
  <c r="D27" i="1"/>
  <c r="M12" i="14" l="1"/>
  <c r="L44" i="15" s="1"/>
  <c r="C49" i="14" s="1"/>
  <c r="D54" i="14"/>
  <c r="N42" i="15" s="1"/>
  <c r="R8" i="15"/>
  <c r="O7" i="15"/>
  <c r="O8" i="15" s="1"/>
  <c r="P7" i="15"/>
  <c r="P8" i="15" s="1"/>
  <c r="N7" i="15"/>
  <c r="N8" i="15" s="1"/>
  <c r="Q7" i="15"/>
  <c r="Q8" i="15" s="1"/>
  <c r="M7" i="15"/>
  <c r="M8" i="15" s="1"/>
  <c r="O42" i="15"/>
  <c r="O44" i="15"/>
  <c r="F49" i="14" s="1"/>
  <c r="K12" i="14"/>
  <c r="D26" i="1"/>
  <c r="D25" i="1"/>
  <c r="D23" i="1"/>
  <c r="D21" i="1"/>
  <c r="D22" i="1" l="1"/>
  <c r="D24" i="1"/>
  <c r="E63" i="32"/>
  <c r="E64" i="32" s="1"/>
  <c r="K7" i="18"/>
  <c r="K9" i="18" s="1"/>
  <c r="L42" i="15"/>
  <c r="N44" i="15"/>
  <c r="E49" i="14" s="1"/>
  <c r="E56" i="14" s="1"/>
  <c r="C54" i="14"/>
  <c r="L12" i="14"/>
  <c r="J44" i="15"/>
  <c r="L7" i="14" s="1"/>
  <c r="J42" i="15"/>
  <c r="O74" i="15"/>
  <c r="H29" i="13" s="1"/>
  <c r="N74" i="15"/>
  <c r="G29" i="13" s="1"/>
  <c r="M74" i="15"/>
  <c r="F29" i="13" s="1"/>
  <c r="L74" i="15"/>
  <c r="E29" i="13" s="1"/>
  <c r="K74" i="15"/>
  <c r="M11" i="13" s="1"/>
  <c r="M14" i="13" l="1"/>
  <c r="K68" i="15" s="1"/>
  <c r="F32" i="13"/>
  <c r="M68" i="15" s="1"/>
  <c r="H32" i="13"/>
  <c r="O68" i="15" s="1"/>
  <c r="E32" i="13"/>
  <c r="L68" i="15" s="1"/>
  <c r="N67" i="15"/>
  <c r="M67" i="15"/>
  <c r="C56" i="14"/>
  <c r="L14" i="14"/>
  <c r="M44" i="15"/>
  <c r="D49" i="14" s="1"/>
  <c r="M42" i="15"/>
  <c r="K44" i="15"/>
  <c r="M7" i="14" s="1"/>
  <c r="K42" i="15"/>
  <c r="I28" i="13"/>
  <c r="H28" i="13"/>
  <c r="G28" i="13"/>
  <c r="F28" i="13"/>
  <c r="E28" i="13"/>
  <c r="L66" i="15" s="1"/>
  <c r="K10" i="13"/>
  <c r="I66" i="15" s="1"/>
  <c r="H55" i="22"/>
  <c r="G55" i="22"/>
  <c r="F55" i="22"/>
  <c r="E55" i="22"/>
  <c r="D55" i="22"/>
  <c r="C55" i="22"/>
  <c r="H54" i="22"/>
  <c r="G54" i="22"/>
  <c r="F54" i="22"/>
  <c r="E54" i="22"/>
  <c r="D54" i="22"/>
  <c r="C54" i="22"/>
  <c r="H55" i="23"/>
  <c r="G55" i="23"/>
  <c r="F55" i="23"/>
  <c r="E55" i="23"/>
  <c r="D55" i="23"/>
  <c r="C55" i="23"/>
  <c r="H54" i="23"/>
  <c r="G54" i="23"/>
  <c r="F54" i="23"/>
  <c r="E54" i="23"/>
  <c r="D54" i="23"/>
  <c r="C54" i="23"/>
  <c r="H55" i="24"/>
  <c r="G55" i="24"/>
  <c r="F55" i="24"/>
  <c r="E55" i="24"/>
  <c r="D55" i="24"/>
  <c r="C55" i="24"/>
  <c r="H54" i="24"/>
  <c r="G54" i="24"/>
  <c r="F54" i="24"/>
  <c r="E54" i="24"/>
  <c r="D54" i="24"/>
  <c r="C54" i="24"/>
  <c r="H55" i="20"/>
  <c r="G55" i="20"/>
  <c r="F55" i="20"/>
  <c r="E55" i="20"/>
  <c r="D55" i="20"/>
  <c r="C55" i="20"/>
  <c r="H54" i="20"/>
  <c r="G54" i="20"/>
  <c r="F54" i="20"/>
  <c r="E54" i="20"/>
  <c r="D54" i="20"/>
  <c r="C54" i="20"/>
  <c r="H55" i="6"/>
  <c r="G55" i="6"/>
  <c r="F55" i="6"/>
  <c r="E55" i="6"/>
  <c r="D55" i="6"/>
  <c r="C55" i="6"/>
  <c r="H54" i="6"/>
  <c r="G54" i="6"/>
  <c r="F54" i="6"/>
  <c r="E54" i="6"/>
  <c r="D54" i="6"/>
  <c r="C54" i="6"/>
  <c r="H28" i="22"/>
  <c r="G28" i="22"/>
  <c r="F28" i="22"/>
  <c r="E28" i="22"/>
  <c r="D28" i="22"/>
  <c r="C28" i="22"/>
  <c r="H17" i="22"/>
  <c r="G17" i="22"/>
  <c r="F17" i="22"/>
  <c r="E17" i="22"/>
  <c r="D17" i="22"/>
  <c r="C17" i="22"/>
  <c r="H12" i="22"/>
  <c r="G12" i="22"/>
  <c r="F12" i="22"/>
  <c r="E12" i="22"/>
  <c r="D12" i="22"/>
  <c r="C12" i="22"/>
  <c r="H7" i="22"/>
  <c r="G7" i="22"/>
  <c r="F7" i="22"/>
  <c r="E7" i="22"/>
  <c r="D7" i="22"/>
  <c r="C7" i="22"/>
  <c r="H28" i="23"/>
  <c r="G28" i="23"/>
  <c r="F28" i="23"/>
  <c r="E28" i="23"/>
  <c r="D28" i="23"/>
  <c r="C28" i="23"/>
  <c r="H17" i="23"/>
  <c r="G17" i="23"/>
  <c r="F17" i="23"/>
  <c r="E17" i="23"/>
  <c r="D17" i="23"/>
  <c r="C17" i="23"/>
  <c r="H12" i="23"/>
  <c r="G12" i="23"/>
  <c r="F12" i="23"/>
  <c r="E12" i="23"/>
  <c r="D12" i="23"/>
  <c r="C12" i="23"/>
  <c r="H7" i="23"/>
  <c r="G7" i="23"/>
  <c r="F7" i="23"/>
  <c r="E7" i="23"/>
  <c r="D7" i="23"/>
  <c r="C7" i="23"/>
  <c r="H28" i="24"/>
  <c r="G28" i="24"/>
  <c r="F28" i="24"/>
  <c r="E28" i="24"/>
  <c r="D28" i="24"/>
  <c r="C28" i="24"/>
  <c r="H17" i="24"/>
  <c r="G17" i="24"/>
  <c r="F17" i="24"/>
  <c r="E17" i="24"/>
  <c r="D17" i="24"/>
  <c r="C17" i="24"/>
  <c r="H12" i="24"/>
  <c r="G12" i="24"/>
  <c r="F12" i="24"/>
  <c r="E12" i="24"/>
  <c r="D12" i="24"/>
  <c r="C12" i="24"/>
  <c r="H7" i="24"/>
  <c r="G7" i="24"/>
  <c r="F7" i="24"/>
  <c r="E7" i="24"/>
  <c r="D7" i="24"/>
  <c r="C7" i="24"/>
  <c r="H28" i="20"/>
  <c r="G28" i="20"/>
  <c r="F28" i="20"/>
  <c r="E28" i="20"/>
  <c r="D28" i="20"/>
  <c r="C28" i="20"/>
  <c r="H17" i="20"/>
  <c r="G17" i="20"/>
  <c r="F17" i="20"/>
  <c r="E17" i="20"/>
  <c r="D17" i="20"/>
  <c r="C17" i="20"/>
  <c r="H12" i="20"/>
  <c r="G12" i="20"/>
  <c r="F12" i="20"/>
  <c r="E12" i="20"/>
  <c r="D12" i="20"/>
  <c r="C12" i="20"/>
  <c r="H7" i="20"/>
  <c r="G7" i="20"/>
  <c r="F7" i="20"/>
  <c r="E7" i="20"/>
  <c r="D7" i="20"/>
  <c r="C7" i="20"/>
  <c r="H28" i="6"/>
  <c r="G28" i="6"/>
  <c r="F28" i="6"/>
  <c r="E28" i="6"/>
  <c r="D28" i="6"/>
  <c r="C28" i="6"/>
  <c r="H17" i="6"/>
  <c r="G17" i="6"/>
  <c r="F17" i="6"/>
  <c r="E17" i="6"/>
  <c r="D17" i="6"/>
  <c r="C17" i="6"/>
  <c r="H12" i="6"/>
  <c r="G12" i="6"/>
  <c r="F12" i="6"/>
  <c r="E12" i="6"/>
  <c r="D12" i="6"/>
  <c r="C12" i="6"/>
  <c r="H7" i="6"/>
  <c r="G7" i="6"/>
  <c r="F7" i="6"/>
  <c r="E7" i="6"/>
  <c r="D7" i="6"/>
  <c r="C7" i="6"/>
  <c r="H84" i="4"/>
  <c r="H86" i="4" s="1"/>
  <c r="G84" i="4"/>
  <c r="G86" i="4" s="1"/>
  <c r="F84" i="4"/>
  <c r="E84" i="4"/>
  <c r="E86" i="4" s="1"/>
  <c r="D84" i="4"/>
  <c r="D86" i="4" s="1"/>
  <c r="C84" i="4"/>
  <c r="H72" i="4"/>
  <c r="G72" i="4"/>
  <c r="F72" i="4"/>
  <c r="E72" i="4"/>
  <c r="D72" i="4"/>
  <c r="C72" i="4"/>
  <c r="H68" i="4"/>
  <c r="H87" i="4" s="1"/>
  <c r="G68" i="4"/>
  <c r="G87" i="4" s="1"/>
  <c r="F68" i="4"/>
  <c r="E68" i="4"/>
  <c r="E87" i="4" s="1"/>
  <c r="D68" i="4"/>
  <c r="D87" i="4" s="1"/>
  <c r="C68" i="4"/>
  <c r="H89" i="22"/>
  <c r="G89" i="22"/>
  <c r="F89" i="22"/>
  <c r="E89" i="22"/>
  <c r="D89" i="22"/>
  <c r="C89" i="22"/>
  <c r="E84" i="22"/>
  <c r="F78" i="22"/>
  <c r="H73" i="22"/>
  <c r="J85" i="22" s="1"/>
  <c r="G73" i="22"/>
  <c r="F73" i="22"/>
  <c r="E73" i="22"/>
  <c r="D73" i="22"/>
  <c r="C73" i="22"/>
  <c r="H50" i="22"/>
  <c r="H51" i="22" s="1"/>
  <c r="G50" i="22"/>
  <c r="G51" i="22" s="1"/>
  <c r="F50" i="22"/>
  <c r="F51" i="22" s="1"/>
  <c r="E50" i="22"/>
  <c r="E51" i="22" s="1"/>
  <c r="D50" i="22"/>
  <c r="D51" i="22" s="1"/>
  <c r="C50" i="22"/>
  <c r="H37" i="22"/>
  <c r="G37" i="22"/>
  <c r="F37" i="22"/>
  <c r="E37" i="22"/>
  <c r="D37" i="22"/>
  <c r="C37" i="22"/>
  <c r="H2" i="22"/>
  <c r="G2" i="22"/>
  <c r="F2" i="22"/>
  <c r="E2" i="22"/>
  <c r="D2" i="22"/>
  <c r="C2" i="22"/>
  <c r="H89" i="23"/>
  <c r="G89" i="23"/>
  <c r="F89" i="23"/>
  <c r="E89" i="23"/>
  <c r="D89" i="23"/>
  <c r="C89" i="23"/>
  <c r="D83" i="23"/>
  <c r="F78" i="23"/>
  <c r="H73" i="23"/>
  <c r="J85" i="23" s="1"/>
  <c r="G73" i="23"/>
  <c r="F73" i="23"/>
  <c r="E73" i="23"/>
  <c r="D73" i="23"/>
  <c r="C73" i="23"/>
  <c r="H50" i="23"/>
  <c r="H51" i="23" s="1"/>
  <c r="G50" i="23"/>
  <c r="G51" i="23" s="1"/>
  <c r="F50" i="23"/>
  <c r="F51" i="23" s="1"/>
  <c r="F62" i="23" s="1"/>
  <c r="E50" i="23"/>
  <c r="E51" i="23" s="1"/>
  <c r="E62" i="23" s="1"/>
  <c r="D50" i="23"/>
  <c r="D51" i="23" s="1"/>
  <c r="C50" i="23"/>
  <c r="H37" i="23"/>
  <c r="G37" i="23"/>
  <c r="F37" i="23"/>
  <c r="E37" i="23"/>
  <c r="D37" i="23"/>
  <c r="C37" i="23"/>
  <c r="H2" i="23"/>
  <c r="G2" i="23"/>
  <c r="F2" i="23"/>
  <c r="E2" i="23"/>
  <c r="D2" i="23"/>
  <c r="C2" i="23"/>
  <c r="H89" i="24"/>
  <c r="G89" i="24"/>
  <c r="F89" i="24"/>
  <c r="E89" i="24"/>
  <c r="D89" i="24"/>
  <c r="C89" i="24"/>
  <c r="D83" i="24"/>
  <c r="F78" i="24"/>
  <c r="H73" i="24"/>
  <c r="J85" i="24" s="1"/>
  <c r="G73" i="24"/>
  <c r="F73" i="24"/>
  <c r="E73" i="24"/>
  <c r="D73" i="24"/>
  <c r="C73" i="24"/>
  <c r="H50" i="24"/>
  <c r="H51" i="24" s="1"/>
  <c r="G50" i="24"/>
  <c r="G51" i="24" s="1"/>
  <c r="F50" i="24"/>
  <c r="F51" i="24" s="1"/>
  <c r="E50" i="24"/>
  <c r="E51" i="24" s="1"/>
  <c r="D50" i="24"/>
  <c r="D51" i="24" s="1"/>
  <c r="C50" i="24"/>
  <c r="H37" i="24"/>
  <c r="G37" i="24"/>
  <c r="F37" i="24"/>
  <c r="E37" i="24"/>
  <c r="D37" i="24"/>
  <c r="C37" i="24"/>
  <c r="H2" i="24"/>
  <c r="G2" i="24"/>
  <c r="F2" i="24"/>
  <c r="E2" i="24"/>
  <c r="D2" i="24"/>
  <c r="C2" i="24"/>
  <c r="H89" i="20"/>
  <c r="G89" i="20"/>
  <c r="F89" i="20"/>
  <c r="E89" i="20"/>
  <c r="D89" i="20"/>
  <c r="C89" i="20"/>
  <c r="D83" i="20"/>
  <c r="F78" i="20"/>
  <c r="H73" i="20"/>
  <c r="J85" i="20" s="1"/>
  <c r="G73" i="20"/>
  <c r="F73" i="20"/>
  <c r="E73" i="20"/>
  <c r="D73" i="20"/>
  <c r="C73" i="20"/>
  <c r="H50" i="20"/>
  <c r="H51" i="20" s="1"/>
  <c r="G50" i="20"/>
  <c r="G51" i="20" s="1"/>
  <c r="F50" i="20"/>
  <c r="F51" i="20" s="1"/>
  <c r="E50" i="20"/>
  <c r="E51" i="20" s="1"/>
  <c r="D50" i="20"/>
  <c r="D51" i="20" s="1"/>
  <c r="C50" i="20"/>
  <c r="H37" i="20"/>
  <c r="G37" i="20"/>
  <c r="F37" i="20"/>
  <c r="E37" i="20"/>
  <c r="D37" i="20"/>
  <c r="C37" i="20"/>
  <c r="H2" i="20"/>
  <c r="G2" i="20"/>
  <c r="F2" i="20"/>
  <c r="E2" i="20"/>
  <c r="D2" i="20"/>
  <c r="C2" i="20"/>
  <c r="H71" i="4"/>
  <c r="G71" i="4"/>
  <c r="F71" i="4"/>
  <c r="E71" i="4"/>
  <c r="D71" i="4"/>
  <c r="C71" i="4"/>
  <c r="H71" i="3"/>
  <c r="G71" i="3"/>
  <c r="F71" i="3"/>
  <c r="E71" i="3"/>
  <c r="D71" i="3"/>
  <c r="C71" i="3"/>
  <c r="C2" i="3"/>
  <c r="D2" i="3"/>
  <c r="E2" i="3"/>
  <c r="F2" i="3"/>
  <c r="G2" i="3"/>
  <c r="H2" i="3"/>
  <c r="I11" i="3" s="1"/>
  <c r="F87" i="4"/>
  <c r="F86" i="4"/>
  <c r="H68" i="3"/>
  <c r="H87" i="3" s="1"/>
  <c r="G68" i="3"/>
  <c r="G87" i="3" s="1"/>
  <c r="F68" i="3"/>
  <c r="F87" i="3" s="1"/>
  <c r="E68" i="3"/>
  <c r="E87" i="3" s="1"/>
  <c r="D68" i="3"/>
  <c r="D87" i="3" s="1"/>
  <c r="C68" i="3"/>
  <c r="O66" i="15" l="1"/>
  <c r="P66" i="15"/>
  <c r="M66" i="15"/>
  <c r="N66" i="15"/>
  <c r="G34" i="13"/>
  <c r="M6" i="36" s="1"/>
  <c r="F15" i="40" s="1"/>
  <c r="L67" i="15"/>
  <c r="G32" i="13"/>
  <c r="N68" i="15" s="1"/>
  <c r="K67" i="15"/>
  <c r="O67" i="15"/>
  <c r="D56" i="14"/>
  <c r="G62" i="24"/>
  <c r="M14" i="14"/>
  <c r="E61" i="20"/>
  <c r="E61" i="24"/>
  <c r="E61" i="23"/>
  <c r="E61" i="22"/>
  <c r="F61" i="20"/>
  <c r="F61" i="24"/>
  <c r="F61" i="23"/>
  <c r="F61" i="22"/>
  <c r="C61" i="20"/>
  <c r="G61" i="20"/>
  <c r="C61" i="24"/>
  <c r="G61" i="24"/>
  <c r="C61" i="23"/>
  <c r="G61" i="23"/>
  <c r="C61" i="22"/>
  <c r="G61" i="22"/>
  <c r="D61" i="20"/>
  <c r="H61" i="20"/>
  <c r="D61" i="24"/>
  <c r="H61" i="24"/>
  <c r="D61" i="23"/>
  <c r="H61" i="23"/>
  <c r="D61" i="22"/>
  <c r="H61" i="22"/>
  <c r="G62" i="22"/>
  <c r="D62" i="22"/>
  <c r="H33" i="13"/>
  <c r="O69" i="15" s="1"/>
  <c r="E33" i="13"/>
  <c r="L69" i="15" s="1"/>
  <c r="I33" i="13"/>
  <c r="P69" i="15" s="1"/>
  <c r="F33" i="13"/>
  <c r="M69" i="15" s="1"/>
  <c r="G33" i="13"/>
  <c r="N69" i="15" s="1"/>
  <c r="C87" i="4"/>
  <c r="C86" i="4"/>
  <c r="C51" i="22"/>
  <c r="C62" i="22" s="1"/>
  <c r="C51" i="23"/>
  <c r="C62" i="23" s="1"/>
  <c r="C51" i="24"/>
  <c r="C62" i="24" s="1"/>
  <c r="C51" i="20"/>
  <c r="C62" i="20" s="1"/>
  <c r="E62" i="22"/>
  <c r="G62" i="23"/>
  <c r="D62" i="23"/>
  <c r="H62" i="23"/>
  <c r="E62" i="24"/>
  <c r="F62" i="24"/>
  <c r="H62" i="20"/>
  <c r="G62" i="20"/>
  <c r="E62" i="20"/>
  <c r="C87" i="3"/>
  <c r="D62" i="20"/>
  <c r="F62" i="20"/>
  <c r="H62" i="22"/>
  <c r="D62" i="24"/>
  <c r="H62" i="24"/>
  <c r="F62" i="22"/>
  <c r="I34" i="13" l="1"/>
  <c r="H34" i="13"/>
  <c r="D16" i="36" s="1"/>
  <c r="F16" i="40" s="1"/>
  <c r="F34" i="13"/>
  <c r="L6" i="36" s="1"/>
  <c r="F14" i="40" s="1"/>
  <c r="C62" i="14"/>
  <c r="E34" i="13"/>
  <c r="M20" i="14"/>
  <c r="D62" i="14" l="1"/>
  <c r="E16" i="36"/>
  <c r="F17" i="40" s="1"/>
  <c r="E62" i="14"/>
  <c r="L20" i="14"/>
  <c r="K6" i="36"/>
  <c r="F13" i="40" s="1"/>
  <c r="H84" i="3"/>
  <c r="H86" i="3" s="1"/>
  <c r="G84" i="3"/>
  <c r="G86" i="3" s="1"/>
  <c r="F84" i="3"/>
  <c r="F86" i="3" s="1"/>
  <c r="E84" i="3"/>
  <c r="E86" i="3" s="1"/>
  <c r="D84" i="3"/>
  <c r="D86" i="3" s="1"/>
  <c r="C84" i="3"/>
  <c r="H72" i="3"/>
  <c r="G72" i="3"/>
  <c r="F72" i="3"/>
  <c r="E72" i="3"/>
  <c r="D72" i="3"/>
  <c r="C72" i="3"/>
  <c r="C86" i="3" l="1"/>
  <c r="H50" i="6" l="1"/>
  <c r="H51" i="6" s="1"/>
  <c r="H62" i="6" s="1"/>
  <c r="G50" i="6"/>
  <c r="G51" i="6" s="1"/>
  <c r="G62" i="6" s="1"/>
  <c r="F50" i="6"/>
  <c r="F51" i="6" s="1"/>
  <c r="F62" i="6" s="1"/>
  <c r="E50" i="6"/>
  <c r="E51" i="6" s="1"/>
  <c r="E62" i="6" s="1"/>
  <c r="D50" i="6"/>
  <c r="D51" i="6" s="1"/>
  <c r="D62" i="6" s="1"/>
  <c r="C50" i="6"/>
  <c r="H37" i="6"/>
  <c r="G37" i="6"/>
  <c r="F37" i="6"/>
  <c r="E37" i="6"/>
  <c r="D37" i="6"/>
  <c r="C37" i="6"/>
  <c r="C61" i="6" l="1"/>
  <c r="G61" i="6"/>
  <c r="D61" i="6"/>
  <c r="H61" i="6"/>
  <c r="E61" i="6"/>
  <c r="F61" i="6"/>
  <c r="C51" i="6"/>
  <c r="C62" i="6" s="1"/>
  <c r="D7" i="14"/>
  <c r="C74" i="15"/>
  <c r="B74" i="15"/>
  <c r="E14" i="13" s="1"/>
  <c r="A12" i="16"/>
  <c r="F14" i="13" l="1"/>
  <c r="B67" i="15"/>
  <c r="C67" i="15"/>
  <c r="C9" i="14"/>
  <c r="K6" i="15"/>
  <c r="J6" i="15"/>
  <c r="I6" i="15"/>
  <c r="H6" i="15"/>
  <c r="G6" i="15"/>
  <c r="D67" i="15" l="1"/>
  <c r="V6" i="15"/>
  <c r="F9" i="15" s="1"/>
  <c r="C4" i="2"/>
  <c r="A48" i="2" s="1"/>
  <c r="H89" i="6" l="1"/>
  <c r="G89" i="6"/>
  <c r="F89" i="6"/>
  <c r="E89" i="6"/>
  <c r="D89" i="6"/>
  <c r="C89" i="6"/>
  <c r="D83" i="6"/>
  <c r="F78" i="6"/>
  <c r="H73" i="6"/>
  <c r="J85" i="6" s="1"/>
  <c r="G73" i="6"/>
  <c r="F73" i="6"/>
  <c r="E73" i="6"/>
  <c r="D73" i="6"/>
  <c r="C73" i="6"/>
  <c r="H2" i="6"/>
  <c r="G2" i="6"/>
  <c r="F2" i="6"/>
  <c r="E2" i="6"/>
  <c r="D2" i="6"/>
  <c r="C2" i="6"/>
  <c r="H18" i="4" l="1"/>
  <c r="G18" i="4"/>
  <c r="F18" i="4"/>
  <c r="E18" i="4"/>
  <c r="D18" i="4"/>
  <c r="C18" i="4"/>
  <c r="H18" i="3"/>
  <c r="G18" i="3"/>
  <c r="F18" i="3"/>
  <c r="E18" i="3"/>
  <c r="D18" i="3"/>
  <c r="C18" i="3"/>
  <c r="E74" i="15" l="1"/>
  <c r="G11" i="13" s="1"/>
  <c r="G7" i="15"/>
  <c r="E67" i="15" l="1"/>
  <c r="G8" i="15"/>
  <c r="B39" i="15"/>
  <c r="C5" i="14" s="1"/>
  <c r="I41" i="15"/>
  <c r="I46" i="15" s="1"/>
  <c r="H41" i="15"/>
  <c r="H46" i="15" s="1"/>
  <c r="G41" i="15"/>
  <c r="G46" i="15" s="1"/>
  <c r="F41" i="15"/>
  <c r="F46" i="15" s="1"/>
  <c r="E41" i="15"/>
  <c r="E46" i="15" s="1"/>
  <c r="D41" i="15"/>
  <c r="C41" i="15"/>
  <c r="C46" i="15" s="1"/>
  <c r="D46" i="15" l="1"/>
  <c r="R4" i="14"/>
  <c r="G14" i="13"/>
  <c r="E68" i="15" s="1"/>
  <c r="B41" i="15"/>
  <c r="B46" i="15" l="1"/>
  <c r="P4" i="14"/>
  <c r="B2" i="15"/>
  <c r="B3" i="15" s="1"/>
  <c r="C20" i="15"/>
  <c r="C23" i="15" s="1"/>
  <c r="D20" i="15"/>
  <c r="D23" i="15" s="1"/>
  <c r="E20" i="15"/>
  <c r="E21" i="15" s="1"/>
  <c r="F20" i="15"/>
  <c r="F23" i="15" s="1"/>
  <c r="G20" i="15"/>
  <c r="G23" i="15" s="1"/>
  <c r="B14" i="15" l="1"/>
  <c r="B6" i="15"/>
  <c r="D12" i="14" s="1"/>
  <c r="B12" i="15"/>
  <c r="B5" i="15"/>
  <c r="C11" i="14" s="1"/>
  <c r="B10" i="15"/>
  <c r="B8" i="15"/>
  <c r="P43" i="15"/>
  <c r="L43" i="15"/>
  <c r="H43" i="15"/>
  <c r="O43" i="15"/>
  <c r="K43" i="15"/>
  <c r="G43" i="15"/>
  <c r="C43" i="15"/>
  <c r="R43" i="15"/>
  <c r="N43" i="15"/>
  <c r="J43" i="15"/>
  <c r="F43" i="15"/>
  <c r="Q43" i="15"/>
  <c r="M43" i="15"/>
  <c r="I43" i="15"/>
  <c r="E43" i="15"/>
  <c r="F48" i="14"/>
  <c r="L23" i="15"/>
  <c r="K21" i="15"/>
  <c r="J23" i="15"/>
  <c r="M23" i="15"/>
  <c r="I23" i="15"/>
  <c r="J74" i="15"/>
  <c r="L11" i="13" s="1"/>
  <c r="I74" i="15"/>
  <c r="K11" i="13" s="1"/>
  <c r="H74" i="15"/>
  <c r="J11" i="13" s="1"/>
  <c r="G74" i="15"/>
  <c r="I11" i="13" s="1"/>
  <c r="F74" i="15"/>
  <c r="H11" i="13" s="1"/>
  <c r="L7" i="15"/>
  <c r="L8" i="15" s="1"/>
  <c r="K7" i="15"/>
  <c r="K8" i="15" s="1"/>
  <c r="J7" i="15"/>
  <c r="J8" i="15" s="1"/>
  <c r="I7" i="15"/>
  <c r="I8" i="15" s="1"/>
  <c r="H7" i="15"/>
  <c r="H8" i="15" s="1"/>
  <c r="D30" i="15"/>
  <c r="F26" i="15"/>
  <c r="B30" i="15"/>
  <c r="E30" i="15"/>
  <c r="C26" i="15"/>
  <c r="G30" i="15"/>
  <c r="C30" i="15"/>
  <c r="E26" i="15"/>
  <c r="F30" i="15"/>
  <c r="D26" i="15"/>
  <c r="G26" i="15"/>
  <c r="D22" i="15"/>
  <c r="J22" i="15" s="1"/>
  <c r="D21" i="15"/>
  <c r="J21" i="15" s="1"/>
  <c r="B26" i="15"/>
  <c r="F21" i="15"/>
  <c r="L21" i="15" s="1"/>
  <c r="E22" i="15"/>
  <c r="K22" i="15" s="1"/>
  <c r="C21" i="15"/>
  <c r="I21" i="15" s="1"/>
  <c r="G21" i="15"/>
  <c r="F22" i="15"/>
  <c r="L22" i="15" s="1"/>
  <c r="E23" i="15"/>
  <c r="K23" i="15" s="1"/>
  <c r="C22" i="15"/>
  <c r="I22" i="15" s="1"/>
  <c r="G22" i="15"/>
  <c r="M22" i="15" s="1"/>
  <c r="B20" i="15"/>
  <c r="C44" i="15" l="1"/>
  <c r="C42" i="15"/>
  <c r="C12" i="14"/>
  <c r="B42" i="15" s="1"/>
  <c r="D14" i="14"/>
  <c r="C45" i="15" s="1"/>
  <c r="P37" i="15"/>
  <c r="N37" i="15"/>
  <c r="N36" i="15"/>
  <c r="O37" i="15"/>
  <c r="O36" i="15"/>
  <c r="P36" i="15"/>
  <c r="M36" i="15"/>
  <c r="M37" i="15"/>
  <c r="J37" i="15"/>
  <c r="L37" i="15"/>
  <c r="L36" i="15"/>
  <c r="J36" i="15"/>
  <c r="H36" i="15"/>
  <c r="I37" i="15"/>
  <c r="K36" i="15"/>
  <c r="I36" i="15"/>
  <c r="H37" i="15"/>
  <c r="K37" i="15"/>
  <c r="B37" i="15"/>
  <c r="E11" i="14" s="1"/>
  <c r="B36" i="15"/>
  <c r="F67" i="15"/>
  <c r="I14" i="13"/>
  <c r="G68" i="15" s="1"/>
  <c r="I67" i="15"/>
  <c r="H67" i="15"/>
  <c r="L14" i="13"/>
  <c r="J68" i="15" s="1"/>
  <c r="F37" i="15"/>
  <c r="G37" i="15"/>
  <c r="F56" i="14"/>
  <c r="G23" i="1"/>
  <c r="G12" i="14" s="1"/>
  <c r="D37" i="15"/>
  <c r="E37" i="15"/>
  <c r="C37" i="15"/>
  <c r="F11" i="14" s="1"/>
  <c r="G22" i="1"/>
  <c r="H23" i="1"/>
  <c r="G24" i="1"/>
  <c r="H12" i="14" s="1"/>
  <c r="G25" i="1"/>
  <c r="I12" i="14" s="1"/>
  <c r="Q5" i="17"/>
  <c r="Q6" i="17" s="1"/>
  <c r="E36" i="15"/>
  <c r="D36" i="15"/>
  <c r="C36" i="15"/>
  <c r="G36" i="15"/>
  <c r="F36" i="15"/>
  <c r="M21" i="15"/>
  <c r="G26" i="1" s="1"/>
  <c r="E34" i="15"/>
  <c r="C34" i="15"/>
  <c r="F34" i="15"/>
  <c r="G34" i="15"/>
  <c r="D34" i="15"/>
  <c r="B34" i="15"/>
  <c r="B23" i="15"/>
  <c r="H23" i="15" s="1"/>
  <c r="B22" i="15"/>
  <c r="H22" i="15" s="1"/>
  <c r="B21" i="15"/>
  <c r="H21" i="15" s="1"/>
  <c r="M10" i="13"/>
  <c r="L10" i="13"/>
  <c r="J66" i="15" s="1"/>
  <c r="J10" i="13"/>
  <c r="H66" i="15" s="1"/>
  <c r="I10" i="13"/>
  <c r="G66" i="15" s="1"/>
  <c r="H10" i="13"/>
  <c r="F66" i="15" s="1"/>
  <c r="G10" i="13"/>
  <c r="E66" i="15" s="1"/>
  <c r="F10" i="13"/>
  <c r="C66" i="15" s="1"/>
  <c r="E10" i="13"/>
  <c r="B66" i="15" s="1"/>
  <c r="B43" i="15" l="1"/>
  <c r="C4" i="14" s="1"/>
  <c r="A43" i="15"/>
  <c r="B44" i="15"/>
  <c r="C7" i="14" s="1"/>
  <c r="K66" i="15"/>
  <c r="M15" i="13"/>
  <c r="K69" i="15" s="1"/>
  <c r="J67" i="15"/>
  <c r="J14" i="13"/>
  <c r="H68" i="15" s="1"/>
  <c r="K14" i="13"/>
  <c r="I68" i="15" s="1"/>
  <c r="H14" i="13"/>
  <c r="F68" i="15" s="1"/>
  <c r="G67" i="15"/>
  <c r="F12" i="14"/>
  <c r="E44" i="15" s="1"/>
  <c r="G21" i="1"/>
  <c r="E12" i="14" s="1"/>
  <c r="J12" i="14"/>
  <c r="I44" i="15" s="1"/>
  <c r="B68" i="15"/>
  <c r="B69" i="15" s="1"/>
  <c r="G44" i="15"/>
  <c r="H7" i="14" s="1"/>
  <c r="G42" i="15"/>
  <c r="F44" i="15"/>
  <c r="G7" i="14" s="1"/>
  <c r="F42" i="15"/>
  <c r="N29" i="12"/>
  <c r="M29" i="12"/>
  <c r="L29" i="12"/>
  <c r="K29" i="12"/>
  <c r="J29" i="12"/>
  <c r="I29" i="12"/>
  <c r="H29" i="12"/>
  <c r="G29" i="12"/>
  <c r="F29" i="12"/>
  <c r="E29" i="12"/>
  <c r="D29" i="12"/>
  <c r="C29" i="12"/>
  <c r="B29" i="12"/>
  <c r="C14" i="14" l="1"/>
  <c r="B45" i="15" s="1"/>
  <c r="H14" i="14"/>
  <c r="G14" i="14"/>
  <c r="I42" i="15"/>
  <c r="M17" i="13"/>
  <c r="J6" i="36" s="1"/>
  <c r="F12" i="40" s="1"/>
  <c r="K7" i="14"/>
  <c r="K14" i="14" s="1"/>
  <c r="J7" i="14"/>
  <c r="J14" i="14" s="1"/>
  <c r="F7" i="14"/>
  <c r="C68" i="15"/>
  <c r="I106" i="20"/>
  <c r="I106" i="22"/>
  <c r="I106" i="24"/>
  <c r="I106" i="23"/>
  <c r="D66" i="15"/>
  <c r="D68" i="15" s="1"/>
  <c r="H42" i="15"/>
  <c r="H44" i="15"/>
  <c r="E42" i="15"/>
  <c r="C30" i="12"/>
  <c r="D42" i="15"/>
  <c r="D43" i="15" s="1"/>
  <c r="E4" i="14" s="1"/>
  <c r="D44" i="15"/>
  <c r="H64" i="4"/>
  <c r="H63" i="4"/>
  <c r="G64" i="4"/>
  <c r="G63" i="4"/>
  <c r="F64" i="4"/>
  <c r="F63" i="4"/>
  <c r="E64" i="4"/>
  <c r="E63" i="4"/>
  <c r="D64" i="4"/>
  <c r="D63" i="4"/>
  <c r="C64" i="4"/>
  <c r="C63" i="4"/>
  <c r="H59" i="4"/>
  <c r="H58" i="4"/>
  <c r="G59" i="4"/>
  <c r="G58" i="4"/>
  <c r="F59" i="4"/>
  <c r="F58" i="4"/>
  <c r="E59" i="4"/>
  <c r="E58" i="4"/>
  <c r="D59" i="4"/>
  <c r="D58" i="4"/>
  <c r="C59" i="4"/>
  <c r="C58" i="4"/>
  <c r="H54" i="4"/>
  <c r="H53" i="4"/>
  <c r="G54" i="4"/>
  <c r="G53" i="4"/>
  <c r="F54" i="4"/>
  <c r="F53" i="4"/>
  <c r="E54" i="4"/>
  <c r="E53" i="4"/>
  <c r="D54" i="4"/>
  <c r="D53" i="4"/>
  <c r="C54" i="4"/>
  <c r="C53" i="4"/>
  <c r="H49" i="4"/>
  <c r="H48" i="4"/>
  <c r="G49" i="4"/>
  <c r="G48" i="4"/>
  <c r="F49" i="4"/>
  <c r="F48" i="4"/>
  <c r="E49" i="4"/>
  <c r="E48" i="4"/>
  <c r="D49" i="4"/>
  <c r="D48" i="4"/>
  <c r="C49" i="4"/>
  <c r="C48" i="4"/>
  <c r="H44" i="4"/>
  <c r="H43" i="4"/>
  <c r="G44" i="4"/>
  <c r="G43" i="4"/>
  <c r="F44" i="4"/>
  <c r="F43" i="4"/>
  <c r="E44" i="4"/>
  <c r="E43" i="4"/>
  <c r="D44" i="4"/>
  <c r="D43" i="4"/>
  <c r="C44" i="4"/>
  <c r="C43" i="4"/>
  <c r="H39" i="4"/>
  <c r="H38" i="4"/>
  <c r="G39" i="4"/>
  <c r="G38" i="4"/>
  <c r="F39" i="4"/>
  <c r="F38" i="4"/>
  <c r="E39" i="4"/>
  <c r="E38" i="4"/>
  <c r="D39" i="4"/>
  <c r="D38" i="4"/>
  <c r="C39" i="4"/>
  <c r="C38" i="4"/>
  <c r="H37" i="4"/>
  <c r="I107" i="4" s="1"/>
  <c r="G37" i="4"/>
  <c r="H107" i="4" s="1"/>
  <c r="F37" i="4"/>
  <c r="G107" i="4" s="1"/>
  <c r="E37" i="4"/>
  <c r="F107" i="4" s="1"/>
  <c r="D37" i="4"/>
  <c r="E107" i="4" s="1"/>
  <c r="C37" i="4"/>
  <c r="D107" i="4" s="1"/>
  <c r="H2" i="4"/>
  <c r="I11" i="4" s="1"/>
  <c r="G2" i="4"/>
  <c r="F2" i="4"/>
  <c r="E2" i="4"/>
  <c r="D2" i="4"/>
  <c r="C2" i="4"/>
  <c r="F14" i="14" l="1"/>
  <c r="I7" i="14"/>
  <c r="I14" i="14" s="1"/>
  <c r="E7" i="14"/>
  <c r="E14" i="14" s="1"/>
  <c r="E42" i="4"/>
  <c r="G42" i="4"/>
  <c r="E47" i="4"/>
  <c r="G47" i="4"/>
  <c r="E52" i="4"/>
  <c r="G52" i="4"/>
  <c r="E57" i="4"/>
  <c r="G57" i="4"/>
  <c r="E62" i="4"/>
  <c r="G62" i="4"/>
  <c r="E67" i="4"/>
  <c r="G67" i="4"/>
  <c r="C42" i="4"/>
  <c r="C47" i="4"/>
  <c r="C57" i="4"/>
  <c r="C62" i="4"/>
  <c r="C67" i="4"/>
  <c r="C69" i="15"/>
  <c r="C52" i="4"/>
  <c r="K20" i="14"/>
  <c r="D42" i="4"/>
  <c r="F42" i="4"/>
  <c r="H42" i="4"/>
  <c r="D47" i="4"/>
  <c r="F47" i="4"/>
  <c r="H47" i="4"/>
  <c r="D52" i="4"/>
  <c r="F52" i="4"/>
  <c r="H52" i="4"/>
  <c r="D57" i="4"/>
  <c r="F57" i="4"/>
  <c r="H57" i="4"/>
  <c r="D62" i="4"/>
  <c r="F62" i="4"/>
  <c r="H62" i="4"/>
  <c r="D67" i="4"/>
  <c r="F67" i="4"/>
  <c r="H67" i="4"/>
  <c r="C31" i="12"/>
  <c r="C32" i="12" s="1"/>
  <c r="D15" i="14" s="1"/>
  <c r="F8" i="4"/>
  <c r="H64" i="3"/>
  <c r="H63" i="3"/>
  <c r="G64" i="3"/>
  <c r="G63" i="3"/>
  <c r="F64" i="3"/>
  <c r="F63" i="3"/>
  <c r="E64" i="3"/>
  <c r="E63" i="3"/>
  <c r="D63" i="3"/>
  <c r="D64" i="3"/>
  <c r="C64" i="3"/>
  <c r="C63" i="3"/>
  <c r="H59" i="3"/>
  <c r="H58" i="3"/>
  <c r="G59" i="3"/>
  <c r="G58" i="3"/>
  <c r="F59" i="3"/>
  <c r="F58" i="3"/>
  <c r="E59" i="3"/>
  <c r="E58" i="3"/>
  <c r="D59" i="3"/>
  <c r="D58" i="3"/>
  <c r="C59" i="3"/>
  <c r="C58" i="3"/>
  <c r="H54" i="3"/>
  <c r="H53" i="3"/>
  <c r="H29" i="41" s="1"/>
  <c r="G54" i="3"/>
  <c r="G53" i="3"/>
  <c r="G29" i="41" s="1"/>
  <c r="F54" i="3"/>
  <c r="F53" i="3"/>
  <c r="F29" i="41" s="1"/>
  <c r="E54" i="3"/>
  <c r="E53" i="3"/>
  <c r="E29" i="41" s="1"/>
  <c r="D54" i="3"/>
  <c r="D53" i="3"/>
  <c r="D29" i="41" s="1"/>
  <c r="C54" i="3"/>
  <c r="C53" i="3"/>
  <c r="C29" i="41" s="1"/>
  <c r="H49" i="3"/>
  <c r="H48" i="3"/>
  <c r="G49" i="3"/>
  <c r="G48" i="3"/>
  <c r="F49" i="3"/>
  <c r="F48" i="3"/>
  <c r="E49" i="3"/>
  <c r="E48" i="3"/>
  <c r="D49" i="3"/>
  <c r="D48" i="3"/>
  <c r="C49" i="3"/>
  <c r="C48" i="3"/>
  <c r="H44" i="3"/>
  <c r="H43" i="3"/>
  <c r="G44" i="3"/>
  <c r="G43" i="3"/>
  <c r="F44" i="3"/>
  <c r="F43" i="3"/>
  <c r="E44" i="3"/>
  <c r="E43" i="3"/>
  <c r="D44" i="3"/>
  <c r="D43" i="3"/>
  <c r="C44" i="3"/>
  <c r="C43" i="3"/>
  <c r="H39" i="3"/>
  <c r="H38" i="3"/>
  <c r="G39" i="3"/>
  <c r="G38" i="3"/>
  <c r="F39" i="3"/>
  <c r="F38" i="3"/>
  <c r="E39" i="3"/>
  <c r="E38" i="3"/>
  <c r="D39" i="3"/>
  <c r="D38" i="3"/>
  <c r="C39" i="3"/>
  <c r="C38" i="3"/>
  <c r="H37" i="3"/>
  <c r="H107" i="3" s="1"/>
  <c r="G37" i="3"/>
  <c r="G107" i="3" s="1"/>
  <c r="F37" i="3"/>
  <c r="F107" i="3" s="1"/>
  <c r="E37" i="3"/>
  <c r="E107" i="3" s="1"/>
  <c r="D37" i="3"/>
  <c r="D107" i="3" s="1"/>
  <c r="C37" i="3"/>
  <c r="C107" i="3" s="1"/>
  <c r="F85" i="2"/>
  <c r="E39" i="2"/>
  <c r="A26" i="2"/>
  <c r="D16" i="14" l="1"/>
  <c r="D24" i="14" s="1"/>
  <c r="D17" i="14"/>
  <c r="C15" i="14"/>
  <c r="H57" i="14"/>
  <c r="H58" i="14" s="1"/>
  <c r="F57" i="14"/>
  <c r="F58" i="14" s="1"/>
  <c r="E57" i="14"/>
  <c r="E58" i="14" s="1"/>
  <c r="G57" i="14"/>
  <c r="G58" i="14" s="1"/>
  <c r="K15" i="14"/>
  <c r="K16" i="14" s="1"/>
  <c r="M15" i="14"/>
  <c r="M16" i="14" s="1"/>
  <c r="D57" i="14"/>
  <c r="D58" i="14" s="1"/>
  <c r="L15" i="14"/>
  <c r="L16" i="14" s="1"/>
  <c r="C57" i="14"/>
  <c r="C58" i="14" s="1"/>
  <c r="E15" i="14"/>
  <c r="E16" i="14" s="1"/>
  <c r="F15" i="14"/>
  <c r="F16" i="14" s="1"/>
  <c r="G15" i="14"/>
  <c r="G16" i="14" s="1"/>
  <c r="I15" i="14"/>
  <c r="I16" i="14" s="1"/>
  <c r="H15" i="14"/>
  <c r="H16" i="14" s="1"/>
  <c r="J15" i="14"/>
  <c r="J16" i="14" s="1"/>
  <c r="H29" i="27"/>
  <c r="H29" i="20"/>
  <c r="H29" i="33"/>
  <c r="H29" i="30"/>
  <c r="H29" i="6"/>
  <c r="H29" i="26"/>
  <c r="H29" i="24"/>
  <c r="H29" i="34"/>
  <c r="H29" i="31"/>
  <c r="H29" i="25"/>
  <c r="H29" i="23"/>
  <c r="H29" i="32"/>
  <c r="H29" i="22"/>
  <c r="H29" i="35"/>
  <c r="G29" i="26"/>
  <c r="G29" i="23"/>
  <c r="G29" i="32"/>
  <c r="G29" i="31"/>
  <c r="G29" i="30"/>
  <c r="G29" i="25"/>
  <c r="G29" i="22"/>
  <c r="G29" i="20"/>
  <c r="G29" i="34"/>
  <c r="G29" i="33"/>
  <c r="G29" i="6"/>
  <c r="G29" i="27"/>
  <c r="G29" i="24"/>
  <c r="G29" i="35"/>
  <c r="F29" i="25"/>
  <c r="F29" i="23"/>
  <c r="F29" i="33"/>
  <c r="F29" i="32"/>
  <c r="F29" i="6"/>
  <c r="F29" i="34"/>
  <c r="F29" i="26"/>
  <c r="F29" i="24"/>
  <c r="F29" i="31"/>
  <c r="F29" i="22"/>
  <c r="F29" i="27"/>
  <c r="F29" i="20"/>
  <c r="F29" i="30"/>
  <c r="F29" i="35"/>
  <c r="E29" i="34"/>
  <c r="E29" i="23"/>
  <c r="E29" i="31"/>
  <c r="E29" i="22"/>
  <c r="E29" i="32"/>
  <c r="E29" i="25"/>
  <c r="E29" i="27"/>
  <c r="E29" i="20"/>
  <c r="E29" i="24"/>
  <c r="E29" i="30"/>
  <c r="E29" i="33"/>
  <c r="E29" i="6"/>
  <c r="E29" i="26"/>
  <c r="E29" i="35"/>
  <c r="D29" i="27"/>
  <c r="D29" i="20"/>
  <c r="D29" i="33"/>
  <c r="D29" i="30"/>
  <c r="D29" i="6"/>
  <c r="D29" i="35"/>
  <c r="D29" i="26"/>
  <c r="D29" i="24"/>
  <c r="D29" i="34"/>
  <c r="D29" i="31"/>
  <c r="D29" i="25"/>
  <c r="D29" i="23"/>
  <c r="D29" i="32"/>
  <c r="D29" i="22"/>
  <c r="C29" i="25"/>
  <c r="C29" i="33"/>
  <c r="C29" i="32"/>
  <c r="C29" i="26"/>
  <c r="C29" i="27"/>
  <c r="C29" i="22"/>
  <c r="C29" i="23"/>
  <c r="C29" i="24"/>
  <c r="C29" i="20"/>
  <c r="C29" i="35"/>
  <c r="C29" i="34"/>
  <c r="C29" i="31"/>
  <c r="C29" i="30"/>
  <c r="C29" i="6"/>
  <c r="G28" i="18"/>
  <c r="G27" i="18" s="1"/>
  <c r="G10" i="18"/>
  <c r="G9" i="18" s="1"/>
  <c r="D42" i="3"/>
  <c r="F42" i="3"/>
  <c r="H42" i="3"/>
  <c r="D47" i="3"/>
  <c r="F47" i="3"/>
  <c r="H47" i="3"/>
  <c r="D52" i="3"/>
  <c r="F52" i="3"/>
  <c r="H52" i="3"/>
  <c r="D57" i="3"/>
  <c r="F57" i="3"/>
  <c r="H57" i="3"/>
  <c r="D62" i="3"/>
  <c r="F62" i="3"/>
  <c r="H62" i="3"/>
  <c r="F67" i="3"/>
  <c r="H67" i="3"/>
  <c r="D69" i="15"/>
  <c r="D67" i="3"/>
  <c r="C42" i="3"/>
  <c r="E42" i="3"/>
  <c r="G42" i="3"/>
  <c r="C47" i="3"/>
  <c r="E47" i="3"/>
  <c r="G47" i="3"/>
  <c r="C52" i="3"/>
  <c r="E52" i="3"/>
  <c r="G52" i="3"/>
  <c r="C57" i="3"/>
  <c r="E57" i="3"/>
  <c r="G57" i="3"/>
  <c r="C62" i="3"/>
  <c r="E62" i="3"/>
  <c r="G62" i="3"/>
  <c r="C67" i="3"/>
  <c r="E67" i="3"/>
  <c r="G67" i="3"/>
  <c r="F15" i="13"/>
  <c r="A56" i="2"/>
  <c r="A60" i="2"/>
  <c r="A64" i="2"/>
  <c r="A52" i="2"/>
  <c r="A44" i="2"/>
  <c r="F8" i="3"/>
  <c r="A34" i="2"/>
  <c r="E6" i="2"/>
  <c r="J84" i="41" s="1"/>
  <c r="A18" i="2"/>
  <c r="C6" i="2"/>
  <c r="A22" i="2"/>
  <c r="A14" i="2"/>
  <c r="A30" i="2"/>
  <c r="G115" i="3" l="1"/>
  <c r="C16" i="14"/>
  <c r="C24" i="14" s="1"/>
  <c r="C17" i="14"/>
  <c r="E115" i="3"/>
  <c r="D115" i="3"/>
  <c r="F115" i="3"/>
  <c r="H115" i="3"/>
  <c r="C115" i="3"/>
  <c r="I84" i="41"/>
  <c r="I82" i="41"/>
  <c r="I81" i="41"/>
  <c r="J81" i="41" s="1"/>
  <c r="J84" i="33"/>
  <c r="I81" i="33"/>
  <c r="J81" i="33" s="1"/>
  <c r="I84" i="33"/>
  <c r="I82" i="33"/>
  <c r="I84" i="25"/>
  <c r="I84" i="26"/>
  <c r="I84" i="27"/>
  <c r="I84" i="22"/>
  <c r="I84" i="23"/>
  <c r="I84" i="24"/>
  <c r="I84" i="20"/>
  <c r="I82" i="25"/>
  <c r="I81" i="25"/>
  <c r="J81" i="25" s="1"/>
  <c r="I82" i="26"/>
  <c r="I81" i="26"/>
  <c r="J81" i="26" s="1"/>
  <c r="I82" i="27"/>
  <c r="I81" i="27"/>
  <c r="J81" i="27" s="1"/>
  <c r="I82" i="22"/>
  <c r="I81" i="22"/>
  <c r="J81" i="22" s="1"/>
  <c r="I82" i="23"/>
  <c r="I81" i="23"/>
  <c r="J81" i="23" s="1"/>
  <c r="I82" i="24"/>
  <c r="I81" i="24"/>
  <c r="J81" i="24" s="1"/>
  <c r="I82" i="20"/>
  <c r="I81" i="20"/>
  <c r="J81" i="20" s="1"/>
  <c r="I84" i="35"/>
  <c r="I82" i="35"/>
  <c r="I81" i="34"/>
  <c r="J81" i="34" s="1"/>
  <c r="I84" i="32"/>
  <c r="I82" i="32"/>
  <c r="I84" i="31"/>
  <c r="I85" i="31" s="1"/>
  <c r="I81" i="30"/>
  <c r="J81" i="30" s="1"/>
  <c r="I81" i="35"/>
  <c r="J81" i="35" s="1"/>
  <c r="I84" i="34"/>
  <c r="I82" i="34"/>
  <c r="I81" i="32"/>
  <c r="J81" i="32" s="1"/>
  <c r="I82" i="31"/>
  <c r="I81" i="31"/>
  <c r="I84" i="30"/>
  <c r="I82" i="30"/>
  <c r="J84" i="25"/>
  <c r="J84" i="26"/>
  <c r="J84" i="27"/>
  <c r="J84" i="22"/>
  <c r="J84" i="23"/>
  <c r="J84" i="24"/>
  <c r="J84" i="20"/>
  <c r="J84" i="34"/>
  <c r="J84" i="30"/>
  <c r="J84" i="35"/>
  <c r="J84" i="32"/>
  <c r="J84" i="31"/>
  <c r="I84" i="6"/>
  <c r="I82" i="6"/>
  <c r="H17" i="2"/>
  <c r="G16" i="2" s="1"/>
  <c r="I81" i="6"/>
  <c r="J81" i="6" s="1"/>
  <c r="H47" i="2"/>
  <c r="G46" i="2" s="1"/>
  <c r="I17" i="2"/>
  <c r="G17" i="2" s="1"/>
  <c r="J84" i="6"/>
  <c r="I47" i="2"/>
  <c r="G47" i="2" s="1"/>
  <c r="B49" i="15"/>
  <c r="E15" i="13"/>
  <c r="H78" i="41" l="1"/>
  <c r="F83" i="41"/>
  <c r="I85" i="41"/>
  <c r="I115" i="3"/>
  <c r="G81" i="2" s="1"/>
  <c r="F81" i="2"/>
  <c r="F83" i="2" s="1"/>
  <c r="C49" i="15"/>
  <c r="I85" i="30"/>
  <c r="I85" i="20"/>
  <c r="I85" i="27"/>
  <c r="I85" i="33"/>
  <c r="I85" i="34"/>
  <c r="I85" i="35"/>
  <c r="I85" i="24"/>
  <c r="I85" i="26"/>
  <c r="I85" i="6"/>
  <c r="I85" i="32"/>
  <c r="I85" i="23"/>
  <c r="I85" i="25"/>
  <c r="I85" i="22"/>
  <c r="J81" i="31"/>
  <c r="H78" i="31" s="1"/>
  <c r="H16" i="2"/>
  <c r="F13" i="3" s="1"/>
  <c r="H46" i="2"/>
  <c r="F13" i="4" s="1"/>
  <c r="F83" i="33"/>
  <c r="H78" i="33"/>
  <c r="H78" i="6"/>
  <c r="F83" i="6"/>
  <c r="H78" i="30"/>
  <c r="F83" i="30"/>
  <c r="F83" i="34"/>
  <c r="H78" i="34"/>
  <c r="H78" i="32"/>
  <c r="F83" i="32"/>
  <c r="H78" i="35"/>
  <c r="F83" i="35"/>
  <c r="F83" i="20"/>
  <c r="H78" i="20"/>
  <c r="F83" i="24"/>
  <c r="H78" i="24"/>
  <c r="F83" i="23"/>
  <c r="H78" i="23"/>
  <c r="F84" i="22"/>
  <c r="H78" i="22"/>
  <c r="F84" i="27"/>
  <c r="H78" i="27"/>
  <c r="F84" i="26"/>
  <c r="H78" i="26"/>
  <c r="F84" i="25"/>
  <c r="H78" i="25"/>
  <c r="L15" i="13"/>
  <c r="J69" i="15" s="1"/>
  <c r="K15" i="13"/>
  <c r="K17" i="13" s="1"/>
  <c r="H6" i="36" s="1"/>
  <c r="F10" i="40" s="1"/>
  <c r="I15" i="13"/>
  <c r="I17" i="13" s="1"/>
  <c r="F6" i="36" s="1"/>
  <c r="F8" i="40" s="1"/>
  <c r="H83" i="41" l="1"/>
  <c r="I88" i="41" s="1"/>
  <c r="B88" i="2"/>
  <c r="B87" i="2"/>
  <c r="I69" i="15"/>
  <c r="F83" i="31"/>
  <c r="H83" i="31" s="1"/>
  <c r="H8" i="3"/>
  <c r="H13" i="3" s="1"/>
  <c r="I4" i="3" s="1"/>
  <c r="H8" i="4"/>
  <c r="H13" i="4" s="1"/>
  <c r="H83" i="33"/>
  <c r="H83" i="35"/>
  <c r="H83" i="32"/>
  <c r="H83" i="30"/>
  <c r="H83" i="6"/>
  <c r="H83" i="25"/>
  <c r="H83" i="26"/>
  <c r="H83" i="27"/>
  <c r="H83" i="22"/>
  <c r="H83" i="23"/>
  <c r="H83" i="24"/>
  <c r="H83" i="20"/>
  <c r="H83" i="34"/>
  <c r="L17" i="13"/>
  <c r="I6" i="36" s="1"/>
  <c r="F11" i="40" s="1"/>
  <c r="I20" i="14"/>
  <c r="G20" i="14"/>
  <c r="J15" i="13"/>
  <c r="G69" i="15"/>
  <c r="G15" i="13"/>
  <c r="H15" i="13"/>
  <c r="H17" i="13" s="1"/>
  <c r="E6" i="36" s="1"/>
  <c r="F7" i="40" s="1"/>
  <c r="I90" i="41" l="1"/>
  <c r="I91" i="41"/>
  <c r="I86" i="41"/>
  <c r="I87" i="41"/>
  <c r="I89" i="41"/>
  <c r="E102" i="41"/>
  <c r="E96" i="41"/>
  <c r="E16" i="13"/>
  <c r="E17" i="13" s="1"/>
  <c r="G17" i="13"/>
  <c r="D6" i="36" s="1"/>
  <c r="F6" i="40" s="1"/>
  <c r="J20" i="14"/>
  <c r="I18" i="4"/>
  <c r="H31" i="4" s="1"/>
  <c r="I4" i="4"/>
  <c r="I89" i="20"/>
  <c r="I86" i="20"/>
  <c r="I91" i="20"/>
  <c r="I90" i="20"/>
  <c r="I88" i="20"/>
  <c r="I87" i="20"/>
  <c r="I86" i="27"/>
  <c r="I91" i="27"/>
  <c r="I90" i="27"/>
  <c r="I88" i="27"/>
  <c r="I87" i="27"/>
  <c r="I89" i="27"/>
  <c r="I89" i="6"/>
  <c r="I88" i="6"/>
  <c r="I86" i="6"/>
  <c r="I90" i="6"/>
  <c r="I91" i="6"/>
  <c r="I87" i="6"/>
  <c r="I89" i="33"/>
  <c r="I86" i="33"/>
  <c r="I88" i="33"/>
  <c r="I90" i="33"/>
  <c r="I87" i="33"/>
  <c r="I91" i="33"/>
  <c r="I90" i="24"/>
  <c r="I91" i="24"/>
  <c r="I86" i="24"/>
  <c r="I89" i="24"/>
  <c r="I88" i="24"/>
  <c r="I87" i="24"/>
  <c r="I88" i="26"/>
  <c r="I86" i="26"/>
  <c r="I87" i="26"/>
  <c r="I89" i="26"/>
  <c r="I91" i="26"/>
  <c r="I90" i="26"/>
  <c r="I86" i="30"/>
  <c r="I88" i="30"/>
  <c r="I90" i="30"/>
  <c r="I89" i="30"/>
  <c r="I91" i="30"/>
  <c r="I87" i="30"/>
  <c r="I88" i="34"/>
  <c r="I91" i="34"/>
  <c r="I86" i="34"/>
  <c r="I90" i="34"/>
  <c r="I89" i="34"/>
  <c r="I87" i="34"/>
  <c r="I88" i="23"/>
  <c r="I91" i="23"/>
  <c r="I86" i="23"/>
  <c r="I90" i="23"/>
  <c r="I87" i="23"/>
  <c r="I89" i="23"/>
  <c r="I86" i="25"/>
  <c r="I90" i="25"/>
  <c r="I89" i="25"/>
  <c r="I87" i="25"/>
  <c r="I91" i="25"/>
  <c r="I88" i="25"/>
  <c r="I86" i="32"/>
  <c r="I87" i="32"/>
  <c r="I91" i="32"/>
  <c r="I90" i="32"/>
  <c r="I88" i="32"/>
  <c r="I89" i="32"/>
  <c r="I90" i="22"/>
  <c r="I89" i="22"/>
  <c r="I87" i="22"/>
  <c r="I88" i="22"/>
  <c r="I91" i="22"/>
  <c r="I86" i="22"/>
  <c r="I86" i="35"/>
  <c r="I88" i="35"/>
  <c r="I87" i="35"/>
  <c r="I91" i="35"/>
  <c r="I89" i="35"/>
  <c r="I90" i="35"/>
  <c r="I18" i="3"/>
  <c r="H31" i="3" s="1"/>
  <c r="H32" i="3" s="1"/>
  <c r="I13" i="3"/>
  <c r="I91" i="31"/>
  <c r="I88" i="31"/>
  <c r="I87" i="31"/>
  <c r="I90" i="31"/>
  <c r="I89" i="31"/>
  <c r="I86" i="31"/>
  <c r="I16" i="3"/>
  <c r="I17" i="3"/>
  <c r="I14" i="3"/>
  <c r="I15" i="3"/>
  <c r="I13" i="4"/>
  <c r="I14" i="4"/>
  <c r="I17" i="4"/>
  <c r="I15" i="4"/>
  <c r="I16" i="4"/>
  <c r="H69" i="15"/>
  <c r="J17" i="13"/>
  <c r="G6" i="36" s="1"/>
  <c r="F9" i="40" s="1"/>
  <c r="F69" i="15"/>
  <c r="E69" i="15"/>
  <c r="E6" i="17" l="1"/>
  <c r="D6" i="17"/>
  <c r="E99" i="41"/>
  <c r="H6" i="17"/>
  <c r="E100" i="41" s="1"/>
  <c r="C6" i="17"/>
  <c r="B6" i="17"/>
  <c r="D102" i="41"/>
  <c r="D96" i="41"/>
  <c r="H96" i="41"/>
  <c r="H102" i="41"/>
  <c r="F102" i="41"/>
  <c r="F96" i="41"/>
  <c r="C96" i="41"/>
  <c r="C102" i="41"/>
  <c r="G102" i="41"/>
  <c r="G96" i="41"/>
  <c r="E103" i="41"/>
  <c r="E104" i="41"/>
  <c r="E46" i="41"/>
  <c r="E60" i="41" s="1"/>
  <c r="E63" i="41" s="1"/>
  <c r="E64" i="41" s="1"/>
  <c r="E20" i="14"/>
  <c r="E26" i="28"/>
  <c r="H25" i="4"/>
  <c r="L17" i="17" s="1"/>
  <c r="E5" i="38"/>
  <c r="B8" i="38"/>
  <c r="B19" i="38"/>
  <c r="H96" i="35"/>
  <c r="H102" i="35"/>
  <c r="C102" i="22"/>
  <c r="C104" i="22" s="1"/>
  <c r="C96" i="22"/>
  <c r="F102" i="22"/>
  <c r="F96" i="22"/>
  <c r="G96" i="32"/>
  <c r="G102" i="32"/>
  <c r="E96" i="25"/>
  <c r="E102" i="25"/>
  <c r="E103" i="25" s="1"/>
  <c r="G96" i="25"/>
  <c r="G102" i="25"/>
  <c r="G103" i="25" s="1"/>
  <c r="G102" i="23"/>
  <c r="G103" i="23" s="1"/>
  <c r="G96" i="23"/>
  <c r="D96" i="34"/>
  <c r="D102" i="34"/>
  <c r="D104" i="34" s="1"/>
  <c r="H102" i="34"/>
  <c r="H104" i="34" s="1"/>
  <c r="H96" i="34"/>
  <c r="F96" i="30"/>
  <c r="F102" i="30"/>
  <c r="G96" i="26"/>
  <c r="G102" i="26"/>
  <c r="C102" i="26"/>
  <c r="C103" i="26" s="1"/>
  <c r="C96" i="26"/>
  <c r="F96" i="24"/>
  <c r="F102" i="24"/>
  <c r="F104" i="24" s="1"/>
  <c r="H96" i="33"/>
  <c r="H102" i="33"/>
  <c r="C96" i="33"/>
  <c r="C102" i="33"/>
  <c r="G102" i="6"/>
  <c r="G96" i="6"/>
  <c r="F102" i="27"/>
  <c r="F96" i="27"/>
  <c r="H96" i="27"/>
  <c r="H102" i="27"/>
  <c r="H104" i="27" s="1"/>
  <c r="G102" i="20"/>
  <c r="G104" i="20" s="1"/>
  <c r="G96" i="20"/>
  <c r="D96" i="35"/>
  <c r="D102" i="35"/>
  <c r="H96" i="22"/>
  <c r="H102" i="22"/>
  <c r="G96" i="22"/>
  <c r="G102" i="22"/>
  <c r="G103" i="22" s="1"/>
  <c r="H96" i="32"/>
  <c r="H102" i="32"/>
  <c r="H96" i="25"/>
  <c r="H102" i="25"/>
  <c r="H104" i="25" s="1"/>
  <c r="C96" i="25"/>
  <c r="C102" i="25"/>
  <c r="C104" i="25" s="1"/>
  <c r="C96" i="23"/>
  <c r="C102" i="23"/>
  <c r="C103" i="23" s="1"/>
  <c r="F102" i="34"/>
  <c r="F104" i="34" s="1"/>
  <c r="F96" i="34"/>
  <c r="E96" i="34"/>
  <c r="E102" i="34"/>
  <c r="E103" i="34" s="1"/>
  <c r="G102" i="30"/>
  <c r="G96" i="30"/>
  <c r="H102" i="26"/>
  <c r="H96" i="26"/>
  <c r="E102" i="26"/>
  <c r="E96" i="26"/>
  <c r="C102" i="24"/>
  <c r="C96" i="24"/>
  <c r="D96" i="33"/>
  <c r="D102" i="33"/>
  <c r="F96" i="33"/>
  <c r="F102" i="33"/>
  <c r="C96" i="6"/>
  <c r="C102" i="6"/>
  <c r="D96" i="27"/>
  <c r="D102" i="27"/>
  <c r="D103" i="27" s="1"/>
  <c r="C96" i="27"/>
  <c r="C102" i="27"/>
  <c r="C104" i="27" s="1"/>
  <c r="H96" i="20"/>
  <c r="H102" i="20"/>
  <c r="H104" i="20" s="1"/>
  <c r="G102" i="35"/>
  <c r="G96" i="35"/>
  <c r="E96" i="35"/>
  <c r="E102" i="35"/>
  <c r="E96" i="22"/>
  <c r="E102" i="22"/>
  <c r="E103" i="22" s="1"/>
  <c r="F96" i="32"/>
  <c r="F102" i="32"/>
  <c r="D102" i="32"/>
  <c r="D96" i="32"/>
  <c r="D33" i="17" s="1"/>
  <c r="D96" i="25"/>
  <c r="D102" i="25"/>
  <c r="D104" i="25" s="1"/>
  <c r="F96" i="23"/>
  <c r="F102" i="23"/>
  <c r="F104" i="23" s="1"/>
  <c r="H102" i="23"/>
  <c r="H96" i="23"/>
  <c r="G102" i="34"/>
  <c r="G104" i="34" s="1"/>
  <c r="G96" i="34"/>
  <c r="D102" i="30"/>
  <c r="D96" i="30"/>
  <c r="E102" i="30"/>
  <c r="E96" i="30"/>
  <c r="F102" i="26"/>
  <c r="F104" i="26" s="1"/>
  <c r="F96" i="26"/>
  <c r="D102" i="24"/>
  <c r="D103" i="24" s="1"/>
  <c r="D96" i="24"/>
  <c r="H102" i="24"/>
  <c r="H96" i="24"/>
  <c r="G102" i="33"/>
  <c r="G96" i="33"/>
  <c r="D96" i="6"/>
  <c r="D102" i="6"/>
  <c r="E96" i="6"/>
  <c r="E102" i="6"/>
  <c r="E102" i="27"/>
  <c r="E96" i="27"/>
  <c r="D96" i="20"/>
  <c r="D102" i="20"/>
  <c r="D104" i="20" s="1"/>
  <c r="C102" i="20"/>
  <c r="C104" i="20" s="1"/>
  <c r="C96" i="20"/>
  <c r="F102" i="35"/>
  <c r="F96" i="35"/>
  <c r="C96" i="35"/>
  <c r="C102" i="35"/>
  <c r="D96" i="22"/>
  <c r="D102" i="22"/>
  <c r="D104" i="22" s="1"/>
  <c r="E96" i="32"/>
  <c r="E102" i="32"/>
  <c r="C96" i="32"/>
  <c r="C102" i="32"/>
  <c r="F96" i="25"/>
  <c r="F102" i="25"/>
  <c r="F104" i="25" s="1"/>
  <c r="D96" i="23"/>
  <c r="D102" i="23"/>
  <c r="D104" i="23" s="1"/>
  <c r="E96" i="23"/>
  <c r="E102" i="23"/>
  <c r="E103" i="23" s="1"/>
  <c r="C96" i="34"/>
  <c r="C102" i="34"/>
  <c r="C103" i="34" s="1"/>
  <c r="H102" i="30"/>
  <c r="H96" i="30"/>
  <c r="C102" i="30"/>
  <c r="C96" i="30"/>
  <c r="D102" i="26"/>
  <c r="D103" i="26" s="1"/>
  <c r="D96" i="26"/>
  <c r="E102" i="24"/>
  <c r="E103" i="24" s="1"/>
  <c r="E96" i="24"/>
  <c r="G96" i="24"/>
  <c r="G102" i="24"/>
  <c r="G103" i="24" s="1"/>
  <c r="E102" i="33"/>
  <c r="E96" i="33"/>
  <c r="H102" i="6"/>
  <c r="H96" i="6"/>
  <c r="F102" i="6"/>
  <c r="F96" i="6"/>
  <c r="G102" i="27"/>
  <c r="G103" i="27" s="1"/>
  <c r="G96" i="27"/>
  <c r="E102" i="20"/>
  <c r="E104" i="20" s="1"/>
  <c r="E96" i="20"/>
  <c r="F102" i="20"/>
  <c r="F104" i="20" s="1"/>
  <c r="F96" i="20"/>
  <c r="H25" i="3"/>
  <c r="L10" i="17" s="1"/>
  <c r="C31" i="3"/>
  <c r="C25" i="3"/>
  <c r="L5" i="17" s="1"/>
  <c r="D102" i="31"/>
  <c r="D104" i="31" s="1"/>
  <c r="D96" i="31"/>
  <c r="C96" i="31"/>
  <c r="C102" i="31"/>
  <c r="C104" i="31" s="1"/>
  <c r="E102" i="31"/>
  <c r="E104" i="31" s="1"/>
  <c r="E96" i="31"/>
  <c r="G102" i="31"/>
  <c r="G103" i="31" s="1"/>
  <c r="G96" i="31"/>
  <c r="F96" i="31"/>
  <c r="F102" i="31"/>
  <c r="F104" i="31" s="1"/>
  <c r="H102" i="31"/>
  <c r="H104" i="31" s="1"/>
  <c r="H96" i="31"/>
  <c r="H33" i="3"/>
  <c r="E25" i="3"/>
  <c r="L7" i="17" s="1"/>
  <c r="E31" i="3"/>
  <c r="D31" i="3"/>
  <c r="D25" i="3"/>
  <c r="L6" i="17" s="1"/>
  <c r="G31" i="3"/>
  <c r="G25" i="3"/>
  <c r="L9" i="17" s="1"/>
  <c r="F25" i="3"/>
  <c r="L8" i="17" s="1"/>
  <c r="F31" i="3"/>
  <c r="D25" i="4"/>
  <c r="L13" i="17" s="1"/>
  <c r="D31" i="4"/>
  <c r="C25" i="4"/>
  <c r="L12" i="17" s="1"/>
  <c r="C31" i="4"/>
  <c r="F31" i="4"/>
  <c r="F33" i="4" s="1"/>
  <c r="F25" i="4"/>
  <c r="L15" i="17" s="1"/>
  <c r="E31" i="4"/>
  <c r="E25" i="4"/>
  <c r="L14" i="17" s="1"/>
  <c r="G25" i="4"/>
  <c r="L16" i="17" s="1"/>
  <c r="G31" i="4"/>
  <c r="G32" i="4" s="1"/>
  <c r="H32" i="4"/>
  <c r="H20" i="14"/>
  <c r="T69" i="15"/>
  <c r="B70" i="15" s="1"/>
  <c r="F20" i="14"/>
  <c r="E107" i="17" l="1"/>
  <c r="D107" i="17"/>
  <c r="E106" i="17"/>
  <c r="D106" i="17"/>
  <c r="G106" i="17" s="1"/>
  <c r="D105" i="17"/>
  <c r="E105" i="17"/>
  <c r="E104" i="17"/>
  <c r="D104" i="17"/>
  <c r="G104" i="17" s="1"/>
  <c r="E103" i="17"/>
  <c r="D103" i="17"/>
  <c r="E102" i="17"/>
  <c r="D102" i="17"/>
  <c r="G102" i="17" s="1"/>
  <c r="E100" i="17"/>
  <c r="D100" i="17"/>
  <c r="E99" i="17"/>
  <c r="D99" i="17"/>
  <c r="G99" i="17" s="1"/>
  <c r="D98" i="17"/>
  <c r="E98" i="17"/>
  <c r="E97" i="17"/>
  <c r="D97" i="17"/>
  <c r="G97" i="17" s="1"/>
  <c r="E96" i="17"/>
  <c r="D96" i="17"/>
  <c r="E95" i="17"/>
  <c r="D95" i="17"/>
  <c r="G95" i="17" s="1"/>
  <c r="E93" i="17"/>
  <c r="D93" i="17"/>
  <c r="E92" i="17"/>
  <c r="D92" i="17"/>
  <c r="D91" i="17"/>
  <c r="E91" i="17"/>
  <c r="E90" i="17"/>
  <c r="D90" i="17"/>
  <c r="G90" i="17" s="1"/>
  <c r="E89" i="17"/>
  <c r="D89" i="17"/>
  <c r="E88" i="17"/>
  <c r="D88" i="17"/>
  <c r="G88" i="17" s="1"/>
  <c r="E86" i="17"/>
  <c r="D86" i="17"/>
  <c r="E85" i="17"/>
  <c r="D85" i="17"/>
  <c r="D84" i="17"/>
  <c r="E84" i="17"/>
  <c r="D83" i="17"/>
  <c r="G83" i="17" s="1"/>
  <c r="E83" i="17"/>
  <c r="E82" i="17"/>
  <c r="D82" i="17"/>
  <c r="E81" i="17"/>
  <c r="D81" i="17"/>
  <c r="G81" i="17" s="1"/>
  <c r="E79" i="17"/>
  <c r="D79" i="17"/>
  <c r="E78" i="17"/>
  <c r="D78" i="17"/>
  <c r="G78" i="17" s="1"/>
  <c r="D77" i="17"/>
  <c r="E77" i="17"/>
  <c r="D76" i="17"/>
  <c r="G76" i="17" s="1"/>
  <c r="E76" i="17"/>
  <c r="E75" i="17"/>
  <c r="D75" i="17"/>
  <c r="E74" i="17"/>
  <c r="D74" i="17"/>
  <c r="G74" i="17" s="1"/>
  <c r="E72" i="17"/>
  <c r="D72" i="17"/>
  <c r="E71" i="17"/>
  <c r="D71" i="17"/>
  <c r="G71" i="17" s="1"/>
  <c r="D70" i="17"/>
  <c r="E70" i="17"/>
  <c r="E69" i="17"/>
  <c r="D69" i="17"/>
  <c r="G69" i="17" s="1"/>
  <c r="E68" i="17"/>
  <c r="D68" i="17"/>
  <c r="E67" i="17"/>
  <c r="D67" i="17"/>
  <c r="G67" i="17" s="1"/>
  <c r="E65" i="17"/>
  <c r="D65" i="17"/>
  <c r="E64" i="17"/>
  <c r="D64" i="17"/>
  <c r="G64" i="17" s="1"/>
  <c r="E63" i="17"/>
  <c r="D63" i="17"/>
  <c r="G63" i="17" s="1"/>
  <c r="E62" i="17"/>
  <c r="D62" i="17"/>
  <c r="G62" i="17" s="1"/>
  <c r="E61" i="17"/>
  <c r="D61" i="17"/>
  <c r="E60" i="17"/>
  <c r="D60" i="17"/>
  <c r="G60" i="17" s="1"/>
  <c r="E58" i="17"/>
  <c r="D58" i="17"/>
  <c r="E57" i="17"/>
  <c r="D57" i="17"/>
  <c r="D56" i="17"/>
  <c r="E56" i="17"/>
  <c r="D55" i="17"/>
  <c r="G55" i="17" s="1"/>
  <c r="E55" i="17"/>
  <c r="D54" i="17"/>
  <c r="G54" i="17" s="1"/>
  <c r="E54" i="17"/>
  <c r="E53" i="17"/>
  <c r="D53" i="17"/>
  <c r="G53" i="17" s="1"/>
  <c r="D51" i="17"/>
  <c r="E51" i="17"/>
  <c r="E50" i="17"/>
  <c r="D50" i="17"/>
  <c r="D49" i="17"/>
  <c r="E49" i="17"/>
  <c r="D48" i="17"/>
  <c r="E48" i="17"/>
  <c r="E47" i="17"/>
  <c r="D47" i="17"/>
  <c r="E46" i="17"/>
  <c r="D46" i="17"/>
  <c r="E44" i="17"/>
  <c r="D44" i="17"/>
  <c r="E43" i="17"/>
  <c r="D43" i="17"/>
  <c r="D42" i="17"/>
  <c r="E42" i="17"/>
  <c r="E41" i="17"/>
  <c r="D41" i="17"/>
  <c r="E40" i="17"/>
  <c r="D40" i="17"/>
  <c r="E39" i="17"/>
  <c r="D39" i="17"/>
  <c r="E37" i="17"/>
  <c r="D37" i="17"/>
  <c r="D36" i="17"/>
  <c r="G36" i="17" s="1"/>
  <c r="E36" i="17"/>
  <c r="D35" i="17"/>
  <c r="E35" i="17"/>
  <c r="E33" i="17"/>
  <c r="D34" i="17"/>
  <c r="G34" i="17" s="1"/>
  <c r="E34" i="17"/>
  <c r="E32" i="17"/>
  <c r="D32" i="17"/>
  <c r="E30" i="17"/>
  <c r="D30" i="17"/>
  <c r="E29" i="17"/>
  <c r="D29" i="17"/>
  <c r="D28" i="17"/>
  <c r="G28" i="17" s="1"/>
  <c r="E28" i="17"/>
  <c r="D27" i="17"/>
  <c r="E27" i="17"/>
  <c r="E26" i="17"/>
  <c r="D26" i="17"/>
  <c r="E25" i="17"/>
  <c r="D25" i="17"/>
  <c r="E23" i="17"/>
  <c r="D23" i="17"/>
  <c r="E22" i="17"/>
  <c r="D22" i="17"/>
  <c r="D21" i="17"/>
  <c r="E21" i="17"/>
  <c r="E20" i="17"/>
  <c r="D20" i="17"/>
  <c r="E19" i="17"/>
  <c r="D19" i="17"/>
  <c r="D18" i="17"/>
  <c r="E18" i="17"/>
  <c r="D16" i="17"/>
  <c r="E16" i="17"/>
  <c r="E15" i="17"/>
  <c r="D15" i="17"/>
  <c r="D14" i="17"/>
  <c r="G14" i="17" s="1"/>
  <c r="E14" i="17"/>
  <c r="D13" i="17"/>
  <c r="E13" i="17"/>
  <c r="E12" i="17"/>
  <c r="D12" i="17"/>
  <c r="E11" i="17"/>
  <c r="D11" i="17"/>
  <c r="E9" i="17"/>
  <c r="D9" i="17"/>
  <c r="E8" i="17"/>
  <c r="D8" i="17"/>
  <c r="E7" i="17"/>
  <c r="C7" i="17" s="1"/>
  <c r="D7" i="17"/>
  <c r="E5" i="17"/>
  <c r="D5" i="17"/>
  <c r="E4" i="17"/>
  <c r="D4" i="17"/>
  <c r="F6" i="17"/>
  <c r="E28" i="3"/>
  <c r="F28" i="3"/>
  <c r="C28" i="3"/>
  <c r="H99" i="25"/>
  <c r="G84" i="17"/>
  <c r="H28" i="3"/>
  <c r="G86" i="17"/>
  <c r="G28" i="4"/>
  <c r="C28" i="4"/>
  <c r="D28" i="4"/>
  <c r="H99" i="31"/>
  <c r="G99" i="31"/>
  <c r="E99" i="31"/>
  <c r="D99" i="31"/>
  <c r="G99" i="24"/>
  <c r="C99" i="34"/>
  <c r="E99" i="23"/>
  <c r="D99" i="23"/>
  <c r="F99" i="25"/>
  <c r="C99" i="32"/>
  <c r="E99" i="32"/>
  <c r="D99" i="22"/>
  <c r="C99" i="35"/>
  <c r="D99" i="20"/>
  <c r="E99" i="6"/>
  <c r="D99" i="6"/>
  <c r="F99" i="23"/>
  <c r="D99" i="25"/>
  <c r="F99" i="32"/>
  <c r="E99" i="22"/>
  <c r="E99" i="35"/>
  <c r="H99" i="20"/>
  <c r="C99" i="27"/>
  <c r="D99" i="27"/>
  <c r="C99" i="6"/>
  <c r="F99" i="33"/>
  <c r="D99" i="33"/>
  <c r="E99" i="34"/>
  <c r="C99" i="23"/>
  <c r="C99" i="25"/>
  <c r="H99" i="32"/>
  <c r="G99" i="22"/>
  <c r="H99" i="22"/>
  <c r="D99" i="35"/>
  <c r="H99" i="27"/>
  <c r="C99" i="33"/>
  <c r="H99" i="33"/>
  <c r="F99" i="24"/>
  <c r="G99" i="26"/>
  <c r="F99" i="30"/>
  <c r="D99" i="34"/>
  <c r="G99" i="25"/>
  <c r="E99" i="25"/>
  <c r="G99" i="32"/>
  <c r="H99" i="35"/>
  <c r="H28" i="4"/>
  <c r="E28" i="4"/>
  <c r="F28" i="4"/>
  <c r="F99" i="31"/>
  <c r="C99" i="31"/>
  <c r="F99" i="20"/>
  <c r="E99" i="20"/>
  <c r="G99" i="27"/>
  <c r="F99" i="6"/>
  <c r="H99" i="6"/>
  <c r="E99" i="33"/>
  <c r="E99" i="24"/>
  <c r="D99" i="26"/>
  <c r="C99" i="30"/>
  <c r="H99" i="30"/>
  <c r="F99" i="35"/>
  <c r="C99" i="20"/>
  <c r="E99" i="27"/>
  <c r="G99" i="33"/>
  <c r="H99" i="24"/>
  <c r="D99" i="24"/>
  <c r="F99" i="26"/>
  <c r="E99" i="30"/>
  <c r="D99" i="30"/>
  <c r="G99" i="34"/>
  <c r="H99" i="23"/>
  <c r="D99" i="32"/>
  <c r="G99" i="35"/>
  <c r="C99" i="24"/>
  <c r="E99" i="26"/>
  <c r="H99" i="26"/>
  <c r="G99" i="30"/>
  <c r="F99" i="34"/>
  <c r="G99" i="20"/>
  <c r="F99" i="27"/>
  <c r="G99" i="6"/>
  <c r="C99" i="26"/>
  <c r="H99" i="34"/>
  <c r="G99" i="23"/>
  <c r="F99" i="22"/>
  <c r="C99" i="22"/>
  <c r="G105" i="17"/>
  <c r="G103" i="17"/>
  <c r="B104" i="17"/>
  <c r="G98" i="17"/>
  <c r="G100" i="17"/>
  <c r="G91" i="17"/>
  <c r="G79" i="17"/>
  <c r="G75" i="17"/>
  <c r="G70" i="17"/>
  <c r="G61" i="17"/>
  <c r="C46" i="35"/>
  <c r="C60" i="35" s="1"/>
  <c r="C63" i="35" s="1"/>
  <c r="C64" i="35" s="1"/>
  <c r="E46" i="35"/>
  <c r="E60" i="35" s="1"/>
  <c r="E63" i="35" s="1"/>
  <c r="E64" i="35" s="1"/>
  <c r="D46" i="35"/>
  <c r="D60" i="35" s="1"/>
  <c r="D63" i="35" s="1"/>
  <c r="D64" i="35" s="1"/>
  <c r="H46" i="35"/>
  <c r="H60" i="35" s="1"/>
  <c r="H63" i="35" s="1"/>
  <c r="H64" i="35" s="1"/>
  <c r="G58" i="17"/>
  <c r="F46" i="35"/>
  <c r="F60" i="35" s="1"/>
  <c r="F63" i="35" s="1"/>
  <c r="F64" i="35" s="1"/>
  <c r="G56" i="17"/>
  <c r="G46" i="35"/>
  <c r="G60" i="35" s="1"/>
  <c r="G63" i="35" s="1"/>
  <c r="G64" i="35" s="1"/>
  <c r="C46" i="17"/>
  <c r="G47" i="17"/>
  <c r="G51" i="17"/>
  <c r="F46" i="33"/>
  <c r="F60" i="33" s="1"/>
  <c r="F63" i="33" s="1"/>
  <c r="F64" i="33" s="1"/>
  <c r="D46" i="33"/>
  <c r="D60" i="33" s="1"/>
  <c r="D63" i="33" s="1"/>
  <c r="D64" i="33" s="1"/>
  <c r="C46" i="33"/>
  <c r="C60" i="33" s="1"/>
  <c r="C63" i="33" s="1"/>
  <c r="C64" i="33" s="1"/>
  <c r="H46" i="33"/>
  <c r="H60" i="33" s="1"/>
  <c r="H63" i="33" s="1"/>
  <c r="H64" i="33" s="1"/>
  <c r="G44" i="17"/>
  <c r="E46" i="33"/>
  <c r="E60" i="33" s="1"/>
  <c r="E63" i="33" s="1"/>
  <c r="E64" i="33" s="1"/>
  <c r="G46" i="33"/>
  <c r="G60" i="33" s="1"/>
  <c r="G63" i="33" s="1"/>
  <c r="G64" i="33" s="1"/>
  <c r="C46" i="32"/>
  <c r="C60" i="32" s="1"/>
  <c r="C63" i="32" s="1"/>
  <c r="C64" i="32" s="1"/>
  <c r="E46" i="32"/>
  <c r="F46" i="32"/>
  <c r="F60" i="32" s="1"/>
  <c r="F63" i="32" s="1"/>
  <c r="F64" i="32" s="1"/>
  <c r="H46" i="32"/>
  <c r="H60" i="32" s="1"/>
  <c r="H63" i="32" s="1"/>
  <c r="H64" i="32" s="1"/>
  <c r="G37" i="17"/>
  <c r="G46" i="32"/>
  <c r="G60" i="32" s="1"/>
  <c r="G63" i="32" s="1"/>
  <c r="G64" i="32" s="1"/>
  <c r="D46" i="32"/>
  <c r="D60" i="32" s="1"/>
  <c r="D63" i="32" s="1"/>
  <c r="D64" i="32" s="1"/>
  <c r="C46" i="31"/>
  <c r="C60" i="31" s="1"/>
  <c r="C63" i="31" s="1"/>
  <c r="C64" i="31" s="1"/>
  <c r="F46" i="30"/>
  <c r="F60" i="30" s="1"/>
  <c r="F63" i="30" s="1"/>
  <c r="F64" i="30" s="1"/>
  <c r="C46" i="30"/>
  <c r="C60" i="30" s="1"/>
  <c r="C63" i="30" s="1"/>
  <c r="C64" i="30" s="1"/>
  <c r="H46" i="30"/>
  <c r="H60" i="30" s="1"/>
  <c r="H63" i="30" s="1"/>
  <c r="H64" i="30" s="1"/>
  <c r="E46" i="30"/>
  <c r="E60" i="30" s="1"/>
  <c r="E63" i="30" s="1"/>
  <c r="E64" i="30" s="1"/>
  <c r="D46" i="30"/>
  <c r="D60" i="30" s="1"/>
  <c r="D63" i="30" s="1"/>
  <c r="D64" i="30" s="1"/>
  <c r="G46" i="30"/>
  <c r="G60" i="30" s="1"/>
  <c r="G63" i="30" s="1"/>
  <c r="G64" i="30" s="1"/>
  <c r="D46" i="6"/>
  <c r="D60" i="6" s="1"/>
  <c r="D63" i="6" s="1"/>
  <c r="D64" i="6" s="1"/>
  <c r="C46" i="6"/>
  <c r="C60" i="6" s="1"/>
  <c r="C63" i="6" s="1"/>
  <c r="C64" i="6" s="1"/>
  <c r="F46" i="6"/>
  <c r="F60" i="6" s="1"/>
  <c r="F63" i="6" s="1"/>
  <c r="F64" i="6" s="1"/>
  <c r="H46" i="6"/>
  <c r="H60" i="6" s="1"/>
  <c r="H63" i="6" s="1"/>
  <c r="H64" i="6" s="1"/>
  <c r="G46" i="6"/>
  <c r="G60" i="6" s="1"/>
  <c r="G63" i="6" s="1"/>
  <c r="G64" i="6" s="1"/>
  <c r="H99" i="41"/>
  <c r="G99" i="41"/>
  <c r="F99" i="41"/>
  <c r="D99" i="41"/>
  <c r="C99" i="41"/>
  <c r="D28" i="3"/>
  <c r="G28" i="3"/>
  <c r="C4" i="17"/>
  <c r="C9" i="17"/>
  <c r="K16" i="17"/>
  <c r="C92" i="4"/>
  <c r="C95" i="4" s="1"/>
  <c r="D92" i="4"/>
  <c r="D95" i="4" s="1"/>
  <c r="K17" i="17"/>
  <c r="E92" i="4"/>
  <c r="E95" i="4" s="1"/>
  <c r="G92" i="3"/>
  <c r="G95" i="3" s="1"/>
  <c r="F92" i="3"/>
  <c r="F95" i="3" s="1"/>
  <c r="E92" i="3"/>
  <c r="E95" i="3" s="1"/>
  <c r="D92" i="3"/>
  <c r="D95" i="3" s="1"/>
  <c r="C92" i="3"/>
  <c r="C95" i="3" s="1"/>
  <c r="G6" i="17"/>
  <c r="E97" i="41" s="1"/>
  <c r="E98" i="41" s="1"/>
  <c r="E101" i="41" s="1"/>
  <c r="B4" i="17"/>
  <c r="H4" i="17"/>
  <c r="C100" i="41" s="1"/>
  <c r="H9" i="17"/>
  <c r="H100" i="41" s="1"/>
  <c r="G9" i="17"/>
  <c r="B9" i="17"/>
  <c r="H8" i="17"/>
  <c r="G100" i="41" s="1"/>
  <c r="C8" i="17"/>
  <c r="B8" i="17"/>
  <c r="H7" i="17"/>
  <c r="F100" i="41" s="1"/>
  <c r="B7" i="17"/>
  <c r="C5" i="17"/>
  <c r="H5" i="17"/>
  <c r="D100" i="41" s="1"/>
  <c r="B5" i="17"/>
  <c r="G46" i="41"/>
  <c r="G60" i="41" s="1"/>
  <c r="G63" i="41" s="1"/>
  <c r="G64" i="41" s="1"/>
  <c r="C103" i="41"/>
  <c r="C104" i="41"/>
  <c r="F46" i="41"/>
  <c r="F60" i="41" s="1"/>
  <c r="F63" i="41" s="1"/>
  <c r="F64" i="41" s="1"/>
  <c r="H103" i="41"/>
  <c r="H104" i="41"/>
  <c r="D46" i="41"/>
  <c r="D60" i="41" s="1"/>
  <c r="D63" i="41" s="1"/>
  <c r="D64" i="41" s="1"/>
  <c r="G104" i="41"/>
  <c r="G103" i="41"/>
  <c r="C46" i="41"/>
  <c r="C60" i="41" s="1"/>
  <c r="C63" i="41" s="1"/>
  <c r="C64" i="41" s="1"/>
  <c r="F104" i="41"/>
  <c r="F103" i="41"/>
  <c r="H46" i="41"/>
  <c r="H60" i="41" s="1"/>
  <c r="H63" i="41" s="1"/>
  <c r="H64" i="41" s="1"/>
  <c r="D103" i="41"/>
  <c r="D104" i="41"/>
  <c r="H92" i="4"/>
  <c r="H95" i="4" s="1"/>
  <c r="G103" i="20"/>
  <c r="F46" i="31"/>
  <c r="F60" i="31" s="1"/>
  <c r="F63" i="31" s="1"/>
  <c r="F64" i="31" s="1"/>
  <c r="F46" i="20"/>
  <c r="F60" i="20" s="1"/>
  <c r="F63" i="20" s="1"/>
  <c r="F64" i="20" s="1"/>
  <c r="E46" i="20"/>
  <c r="E60" i="20" s="1"/>
  <c r="E63" i="20" s="1"/>
  <c r="E64" i="20" s="1"/>
  <c r="B92" i="17"/>
  <c r="G46" i="27"/>
  <c r="G60" i="27" s="1"/>
  <c r="G63" i="27" s="1"/>
  <c r="G64" i="27" s="1"/>
  <c r="E46" i="24"/>
  <c r="E60" i="24" s="1"/>
  <c r="E63" i="24" s="1"/>
  <c r="E64" i="24" s="1"/>
  <c r="G96" i="17"/>
  <c r="D46" i="26"/>
  <c r="D60" i="26" s="1"/>
  <c r="D63" i="26" s="1"/>
  <c r="D64" i="26" s="1"/>
  <c r="C46" i="20"/>
  <c r="C60" i="20" s="1"/>
  <c r="C63" i="20" s="1"/>
  <c r="C64" i="20" s="1"/>
  <c r="C90" i="17"/>
  <c r="E46" i="27"/>
  <c r="E60" i="27" s="1"/>
  <c r="E63" i="27" s="1"/>
  <c r="E64" i="27" s="1"/>
  <c r="H46" i="24"/>
  <c r="H60" i="24" s="1"/>
  <c r="H63" i="24" s="1"/>
  <c r="H64" i="24" s="1"/>
  <c r="D46" i="24"/>
  <c r="D60" i="24" s="1"/>
  <c r="D63" i="24" s="1"/>
  <c r="D64" i="24" s="1"/>
  <c r="F46" i="26"/>
  <c r="F60" i="26" s="1"/>
  <c r="F63" i="26" s="1"/>
  <c r="F64" i="26" s="1"/>
  <c r="C50" i="17"/>
  <c r="G46" i="34"/>
  <c r="G60" i="34" s="1"/>
  <c r="G63" i="34" s="1"/>
  <c r="G64" i="34" s="1"/>
  <c r="B79" i="17"/>
  <c r="H46" i="23"/>
  <c r="H60" i="23" s="1"/>
  <c r="H63" i="23" s="1"/>
  <c r="H64" i="23" s="1"/>
  <c r="C46" i="24"/>
  <c r="C60" i="24" s="1"/>
  <c r="C63" i="24" s="1"/>
  <c r="C64" i="24" s="1"/>
  <c r="H97" i="17"/>
  <c r="E100" i="26" s="1"/>
  <c r="E46" i="26"/>
  <c r="E60" i="26" s="1"/>
  <c r="E63" i="26" s="1"/>
  <c r="E64" i="26" s="1"/>
  <c r="B100" i="17"/>
  <c r="H46" i="26"/>
  <c r="H60" i="26" s="1"/>
  <c r="H63" i="26" s="1"/>
  <c r="H64" i="26" s="1"/>
  <c r="F46" i="34"/>
  <c r="F60" i="34" s="1"/>
  <c r="F63" i="34" s="1"/>
  <c r="F64" i="34" s="1"/>
  <c r="C64" i="17"/>
  <c r="G46" i="20"/>
  <c r="G60" i="20" s="1"/>
  <c r="G63" i="20" s="1"/>
  <c r="G64" i="20" s="1"/>
  <c r="F46" i="27"/>
  <c r="F60" i="27" s="1"/>
  <c r="F63" i="27" s="1"/>
  <c r="F64" i="27" s="1"/>
  <c r="H95" i="17"/>
  <c r="C100" i="26" s="1"/>
  <c r="C46" i="26"/>
  <c r="C60" i="26" s="1"/>
  <c r="C63" i="26" s="1"/>
  <c r="C64" i="26" s="1"/>
  <c r="B51" i="17"/>
  <c r="H46" i="34"/>
  <c r="H60" i="34" s="1"/>
  <c r="H63" i="34" s="1"/>
  <c r="H64" i="34" s="1"/>
  <c r="B78" i="17"/>
  <c r="G46" i="23"/>
  <c r="G60" i="23" s="1"/>
  <c r="G63" i="23" s="1"/>
  <c r="G64" i="23" s="1"/>
  <c r="C84" i="17"/>
  <c r="F46" i="22"/>
  <c r="F60" i="22" s="1"/>
  <c r="F63" i="22" s="1"/>
  <c r="F64" i="22" s="1"/>
  <c r="C46" i="22"/>
  <c r="C60" i="22" s="1"/>
  <c r="C63" i="22" s="1"/>
  <c r="C64" i="22" s="1"/>
  <c r="H46" i="31"/>
  <c r="H60" i="31" s="1"/>
  <c r="H63" i="31" s="1"/>
  <c r="H64" i="31" s="1"/>
  <c r="G46" i="31"/>
  <c r="G60" i="31" s="1"/>
  <c r="G63" i="31" s="1"/>
  <c r="G64" i="31" s="1"/>
  <c r="E46" i="31"/>
  <c r="E60" i="31" s="1"/>
  <c r="E63" i="31" s="1"/>
  <c r="E64" i="31" s="1"/>
  <c r="D46" i="31"/>
  <c r="D60" i="31" s="1"/>
  <c r="D63" i="31" s="1"/>
  <c r="D64" i="31" s="1"/>
  <c r="G46" i="24"/>
  <c r="G60" i="24" s="1"/>
  <c r="G63" i="24" s="1"/>
  <c r="G64" i="24" s="1"/>
  <c r="C46" i="34"/>
  <c r="C60" i="34" s="1"/>
  <c r="C63" i="34" s="1"/>
  <c r="C64" i="34" s="1"/>
  <c r="E46" i="23"/>
  <c r="E60" i="23" s="1"/>
  <c r="E63" i="23" s="1"/>
  <c r="E64" i="23" s="1"/>
  <c r="B75" i="17"/>
  <c r="D46" i="23"/>
  <c r="D60" i="23" s="1"/>
  <c r="D63" i="23" s="1"/>
  <c r="D64" i="23" s="1"/>
  <c r="C105" i="17"/>
  <c r="F46" i="25"/>
  <c r="F60" i="25" s="1"/>
  <c r="F63" i="25" s="1"/>
  <c r="F64" i="25" s="1"/>
  <c r="B82" i="17"/>
  <c r="D46" i="22"/>
  <c r="D60" i="22" s="1"/>
  <c r="D63" i="22" s="1"/>
  <c r="D64" i="22" s="1"/>
  <c r="H61" i="17"/>
  <c r="D100" i="20" s="1"/>
  <c r="D46" i="20"/>
  <c r="D60" i="20" s="1"/>
  <c r="D63" i="20" s="1"/>
  <c r="D64" i="20" s="1"/>
  <c r="E46" i="6"/>
  <c r="E60" i="6" s="1"/>
  <c r="E63" i="6" s="1"/>
  <c r="E64" i="6" s="1"/>
  <c r="F46" i="23"/>
  <c r="F60" i="23" s="1"/>
  <c r="F63" i="23" s="1"/>
  <c r="F64" i="23" s="1"/>
  <c r="D46" i="25"/>
  <c r="D60" i="25" s="1"/>
  <c r="D63" i="25" s="1"/>
  <c r="D64" i="25" s="1"/>
  <c r="E46" i="22"/>
  <c r="E60" i="22" s="1"/>
  <c r="E63" i="22" s="1"/>
  <c r="E64" i="22" s="1"/>
  <c r="H46" i="20"/>
  <c r="H60" i="20" s="1"/>
  <c r="H63" i="20" s="1"/>
  <c r="H64" i="20" s="1"/>
  <c r="C46" i="27"/>
  <c r="C60" i="27" s="1"/>
  <c r="C63" i="27" s="1"/>
  <c r="C64" i="27" s="1"/>
  <c r="D46" i="27"/>
  <c r="D60" i="27" s="1"/>
  <c r="D63" i="27" s="1"/>
  <c r="D64" i="27" s="1"/>
  <c r="H48" i="17"/>
  <c r="E100" i="34" s="1"/>
  <c r="E46" i="34"/>
  <c r="E60" i="34" s="1"/>
  <c r="E63" i="34" s="1"/>
  <c r="E64" i="34" s="1"/>
  <c r="B74" i="17"/>
  <c r="C46" i="23"/>
  <c r="C60" i="23" s="1"/>
  <c r="C63" i="23" s="1"/>
  <c r="C64" i="23" s="1"/>
  <c r="H102" i="17"/>
  <c r="C100" i="25" s="1"/>
  <c r="C46" i="25"/>
  <c r="C60" i="25" s="1"/>
  <c r="C63" i="25" s="1"/>
  <c r="C64" i="25" s="1"/>
  <c r="H107" i="17"/>
  <c r="H100" i="25" s="1"/>
  <c r="H46" i="25"/>
  <c r="H60" i="25" s="1"/>
  <c r="H63" i="25" s="1"/>
  <c r="H64" i="25" s="1"/>
  <c r="H85" i="17"/>
  <c r="G100" i="22" s="1"/>
  <c r="G46" i="22"/>
  <c r="G60" i="22" s="1"/>
  <c r="G63" i="22" s="1"/>
  <c r="G64" i="22" s="1"/>
  <c r="H86" i="17"/>
  <c r="H100" i="22" s="1"/>
  <c r="H46" i="22"/>
  <c r="H60" i="22" s="1"/>
  <c r="H63" i="22" s="1"/>
  <c r="H64" i="22" s="1"/>
  <c r="H46" i="27"/>
  <c r="H60" i="27" s="1"/>
  <c r="H63" i="27" s="1"/>
  <c r="H64" i="27" s="1"/>
  <c r="B70" i="17"/>
  <c r="F46" i="24"/>
  <c r="F60" i="24" s="1"/>
  <c r="F63" i="24" s="1"/>
  <c r="F64" i="24" s="1"/>
  <c r="H99" i="17"/>
  <c r="G100" i="26" s="1"/>
  <c r="G46" i="26"/>
  <c r="G60" i="26" s="1"/>
  <c r="G63" i="26" s="1"/>
  <c r="G64" i="26" s="1"/>
  <c r="B47" i="17"/>
  <c r="D46" i="34"/>
  <c r="D60" i="34" s="1"/>
  <c r="D63" i="34" s="1"/>
  <c r="D64" i="34" s="1"/>
  <c r="B106" i="17"/>
  <c r="G46" i="25"/>
  <c r="G60" i="25" s="1"/>
  <c r="G63" i="25" s="1"/>
  <c r="G64" i="25" s="1"/>
  <c r="E46" i="25"/>
  <c r="E60" i="25" s="1"/>
  <c r="E63" i="25" s="1"/>
  <c r="E64" i="25" s="1"/>
  <c r="G82" i="17"/>
  <c r="H103" i="34"/>
  <c r="C99" i="17"/>
  <c r="G103" i="34"/>
  <c r="G104" i="23"/>
  <c r="C75" i="17"/>
  <c r="E103" i="20"/>
  <c r="H93" i="17"/>
  <c r="H100" i="27" s="1"/>
  <c r="G104" i="27"/>
  <c r="H65" i="17"/>
  <c r="H100" i="20" s="1"/>
  <c r="H74" i="17"/>
  <c r="C100" i="23" s="1"/>
  <c r="F103" i="26"/>
  <c r="C100" i="17"/>
  <c r="B28" i="17"/>
  <c r="F92" i="4"/>
  <c r="F95" i="4" s="1"/>
  <c r="H98" i="17"/>
  <c r="F100" i="26" s="1"/>
  <c r="C103" i="20"/>
  <c r="C74" i="17"/>
  <c r="C104" i="26"/>
  <c r="B48" i="17"/>
  <c r="H89" i="17"/>
  <c r="D100" i="27" s="1"/>
  <c r="F103" i="24"/>
  <c r="H84" i="17"/>
  <c r="F100" i="22" s="1"/>
  <c r="F103" i="20"/>
  <c r="F103" i="23"/>
  <c r="H71" i="17"/>
  <c r="G100" i="24" s="1"/>
  <c r="D103" i="22"/>
  <c r="D104" i="26"/>
  <c r="F103" i="34"/>
  <c r="C77" i="17"/>
  <c r="H91" i="17"/>
  <c r="F100" i="27" s="1"/>
  <c r="E104" i="25"/>
  <c r="H70" i="17"/>
  <c r="F100" i="24" s="1"/>
  <c r="E104" i="24"/>
  <c r="C103" i="22"/>
  <c r="B97" i="17"/>
  <c r="B71" i="17"/>
  <c r="C71" i="17"/>
  <c r="C76" i="17"/>
  <c r="B76" i="17"/>
  <c r="H105" i="17"/>
  <c r="F100" i="25" s="1"/>
  <c r="E103" i="27"/>
  <c r="E104" i="27"/>
  <c r="H103" i="24"/>
  <c r="H104" i="24"/>
  <c r="H104" i="23"/>
  <c r="H103" i="23"/>
  <c r="H103" i="17"/>
  <c r="D100" i="25" s="1"/>
  <c r="C103" i="17"/>
  <c r="B65" i="17"/>
  <c r="G65" i="17"/>
  <c r="C65" i="17"/>
  <c r="G89" i="17"/>
  <c r="B89" i="17"/>
  <c r="C103" i="24"/>
  <c r="C104" i="24"/>
  <c r="H103" i="26"/>
  <c r="H104" i="26"/>
  <c r="B107" i="17"/>
  <c r="B85" i="17"/>
  <c r="G93" i="17"/>
  <c r="B93" i="17"/>
  <c r="C93" i="17"/>
  <c r="C47" i="17"/>
  <c r="H47" i="17"/>
  <c r="D100" i="34" s="1"/>
  <c r="C106" i="17"/>
  <c r="H106" i="17"/>
  <c r="G100" i="25" s="1"/>
  <c r="E104" i="22"/>
  <c r="C103" i="27"/>
  <c r="D103" i="20"/>
  <c r="C103" i="25"/>
  <c r="H72" i="17"/>
  <c r="H100" i="24" s="1"/>
  <c r="H103" i="27"/>
  <c r="D103" i="31"/>
  <c r="C67" i="17"/>
  <c r="H96" i="17"/>
  <c r="D100" i="26" s="1"/>
  <c r="D104" i="27"/>
  <c r="H103" i="20"/>
  <c r="E104" i="23"/>
  <c r="G104" i="24"/>
  <c r="E103" i="31"/>
  <c r="H79" i="17"/>
  <c r="H100" i="23" s="1"/>
  <c r="D103" i="34"/>
  <c r="C60" i="17"/>
  <c r="B63" i="17"/>
  <c r="C92" i="17"/>
  <c r="H92" i="17"/>
  <c r="G100" i="27" s="1"/>
  <c r="D103" i="25"/>
  <c r="B72" i="17"/>
  <c r="C72" i="17"/>
  <c r="H81" i="17"/>
  <c r="C100" i="22" s="1"/>
  <c r="H100" i="17"/>
  <c r="H100" i="26" s="1"/>
  <c r="E104" i="34"/>
  <c r="H90" i="17"/>
  <c r="E100" i="27" s="1"/>
  <c r="F103" i="25"/>
  <c r="H28" i="17"/>
  <c r="F100" i="31" s="1"/>
  <c r="C96" i="17"/>
  <c r="B95" i="17"/>
  <c r="C95" i="17"/>
  <c r="H60" i="17"/>
  <c r="C100" i="20" s="1"/>
  <c r="C63" i="17"/>
  <c r="C104" i="23"/>
  <c r="G104" i="25"/>
  <c r="C81" i="17"/>
  <c r="C79" i="17"/>
  <c r="H103" i="25"/>
  <c r="C28" i="17"/>
  <c r="B67" i="17"/>
  <c r="G104" i="22"/>
  <c r="C98" i="17"/>
  <c r="B98" i="17"/>
  <c r="B96" i="17"/>
  <c r="B60" i="17"/>
  <c r="H63" i="17"/>
  <c r="F100" i="20" s="1"/>
  <c r="B81" i="17"/>
  <c r="F81" i="17" s="1"/>
  <c r="B90" i="17"/>
  <c r="H67" i="17"/>
  <c r="C100" i="24" s="1"/>
  <c r="B105" i="17"/>
  <c r="B25" i="17"/>
  <c r="H62" i="17"/>
  <c r="E100" i="20" s="1"/>
  <c r="B62" i="17"/>
  <c r="C62" i="17"/>
  <c r="C14" i="17"/>
  <c r="B14" i="17"/>
  <c r="H14" i="17"/>
  <c r="C41" i="17"/>
  <c r="H41" i="17"/>
  <c r="E100" i="33" s="1"/>
  <c r="B41" i="17"/>
  <c r="B69" i="17"/>
  <c r="H69" i="17"/>
  <c r="E100" i="24" s="1"/>
  <c r="C18" i="17"/>
  <c r="H18" i="17"/>
  <c r="C100" i="30" s="1"/>
  <c r="B18" i="17"/>
  <c r="C104" i="32"/>
  <c r="C103" i="32"/>
  <c r="H56" i="17"/>
  <c r="F100" i="35" s="1"/>
  <c r="C56" i="17"/>
  <c r="B56" i="17"/>
  <c r="E103" i="6"/>
  <c r="E104" i="6"/>
  <c r="B43" i="17"/>
  <c r="C43" i="17"/>
  <c r="H43" i="17"/>
  <c r="G100" i="33" s="1"/>
  <c r="G68" i="17"/>
  <c r="C68" i="17"/>
  <c r="H68" i="17"/>
  <c r="D100" i="24" s="1"/>
  <c r="H20" i="17"/>
  <c r="E100" i="30" s="1"/>
  <c r="B20" i="17"/>
  <c r="C20" i="17"/>
  <c r="B50" i="17"/>
  <c r="H33" i="17"/>
  <c r="D100" i="32" s="1"/>
  <c r="B33" i="17"/>
  <c r="C33" i="17"/>
  <c r="B57" i="17"/>
  <c r="C57" i="17"/>
  <c r="H57" i="17"/>
  <c r="G100" i="35" s="1"/>
  <c r="C104" i="6"/>
  <c r="C103" i="6"/>
  <c r="D103" i="33"/>
  <c r="D104" i="33"/>
  <c r="H22" i="17"/>
  <c r="G100" i="30" s="1"/>
  <c r="B22" i="17"/>
  <c r="C22" i="17"/>
  <c r="B49" i="17"/>
  <c r="H49" i="17"/>
  <c r="F100" i="34" s="1"/>
  <c r="H103" i="32"/>
  <c r="H104" i="32"/>
  <c r="H104" i="22"/>
  <c r="H103" i="22"/>
  <c r="H64" i="17"/>
  <c r="G100" i="20" s="1"/>
  <c r="C91" i="17"/>
  <c r="B91" i="17"/>
  <c r="C103" i="33"/>
  <c r="C104" i="33"/>
  <c r="G104" i="26"/>
  <c r="G103" i="26"/>
  <c r="H51" i="17"/>
  <c r="H100" i="34" s="1"/>
  <c r="C78" i="17"/>
  <c r="H78" i="17"/>
  <c r="G100" i="23" s="1"/>
  <c r="B84" i="17"/>
  <c r="H104" i="35"/>
  <c r="H103" i="35"/>
  <c r="G104" i="31"/>
  <c r="B68" i="17"/>
  <c r="C27" i="17"/>
  <c r="H27" i="17"/>
  <c r="E100" i="31" s="1"/>
  <c r="H26" i="17"/>
  <c r="D100" i="31" s="1"/>
  <c r="B26" i="17"/>
  <c r="C26" i="17"/>
  <c r="F104" i="6"/>
  <c r="F103" i="6"/>
  <c r="E103" i="33"/>
  <c r="E104" i="33"/>
  <c r="C103" i="30"/>
  <c r="C104" i="30"/>
  <c r="B46" i="17"/>
  <c r="H46" i="17"/>
  <c r="C100" i="34" s="1"/>
  <c r="H75" i="17"/>
  <c r="D100" i="23" s="1"/>
  <c r="B32" i="17"/>
  <c r="H32" i="17"/>
  <c r="C100" i="32" s="1"/>
  <c r="C32" i="17"/>
  <c r="H82" i="17"/>
  <c r="D100" i="22" s="1"/>
  <c r="C82" i="17"/>
  <c r="F104" i="35"/>
  <c r="F103" i="35"/>
  <c r="B61" i="17"/>
  <c r="C61" i="17"/>
  <c r="B13" i="17"/>
  <c r="C13" i="17"/>
  <c r="H13" i="17"/>
  <c r="G103" i="33"/>
  <c r="G104" i="33"/>
  <c r="E104" i="30"/>
  <c r="E103" i="30"/>
  <c r="H77" i="17"/>
  <c r="F100" i="23" s="1"/>
  <c r="G77" i="17"/>
  <c r="D104" i="32"/>
  <c r="D103" i="32"/>
  <c r="C83" i="17"/>
  <c r="B83" i="17"/>
  <c r="H83" i="17"/>
  <c r="E100" i="22" s="1"/>
  <c r="G104" i="35"/>
  <c r="G103" i="35"/>
  <c r="C88" i="17"/>
  <c r="H88" i="17"/>
  <c r="C100" i="27" s="1"/>
  <c r="H11" i="17"/>
  <c r="C11" i="17"/>
  <c r="G11" i="17"/>
  <c r="B11" i="17"/>
  <c r="H40" i="17"/>
  <c r="D100" i="33" s="1"/>
  <c r="B40" i="17"/>
  <c r="C40" i="17"/>
  <c r="E104" i="26"/>
  <c r="E103" i="26"/>
  <c r="G103" i="30"/>
  <c r="G104" i="30"/>
  <c r="B102" i="17"/>
  <c r="H37" i="17"/>
  <c r="H100" i="32" s="1"/>
  <c r="C37" i="17"/>
  <c r="B37" i="17"/>
  <c r="B86" i="17"/>
  <c r="F103" i="27"/>
  <c r="F104" i="27"/>
  <c r="H39" i="17"/>
  <c r="C100" i="33" s="1"/>
  <c r="C39" i="17"/>
  <c r="B39" i="17"/>
  <c r="B99" i="17"/>
  <c r="C104" i="17"/>
  <c r="H104" i="17"/>
  <c r="E100" i="25" s="1"/>
  <c r="F103" i="22"/>
  <c r="F104" i="22"/>
  <c r="H58" i="17"/>
  <c r="H100" i="35" s="1"/>
  <c r="C58" i="17"/>
  <c r="B58" i="17"/>
  <c r="C104" i="34"/>
  <c r="B64" i="17"/>
  <c r="B77" i="17"/>
  <c r="C70" i="17"/>
  <c r="D104" i="24"/>
  <c r="C97" i="17"/>
  <c r="C51" i="17"/>
  <c r="C49" i="17"/>
  <c r="H50" i="17"/>
  <c r="G100" i="34" s="1"/>
  <c r="D103" i="23"/>
  <c r="B88" i="17"/>
  <c r="C102" i="17"/>
  <c r="C69" i="17"/>
  <c r="C86" i="17"/>
  <c r="H103" i="6"/>
  <c r="H104" i="6"/>
  <c r="H104" i="30"/>
  <c r="H103" i="30"/>
  <c r="H76" i="17"/>
  <c r="E100" i="23" s="1"/>
  <c r="H34" i="17"/>
  <c r="E100" i="32" s="1"/>
  <c r="B34" i="17"/>
  <c r="C34" i="17"/>
  <c r="H53" i="17"/>
  <c r="C100" i="35" s="1"/>
  <c r="C53" i="17"/>
  <c r="B53" i="17"/>
  <c r="C12" i="17"/>
  <c r="H12" i="17"/>
  <c r="B12" i="17"/>
  <c r="D104" i="30"/>
  <c r="D103" i="30"/>
  <c r="B103" i="17"/>
  <c r="B35" i="17"/>
  <c r="H35" i="17"/>
  <c r="F100" i="32" s="1"/>
  <c r="C35" i="17"/>
  <c r="B55" i="17"/>
  <c r="C55" i="17"/>
  <c r="H55" i="17"/>
  <c r="E100" i="35" s="1"/>
  <c r="C89" i="17"/>
  <c r="H42" i="17"/>
  <c r="F100" i="33" s="1"/>
  <c r="C42" i="17"/>
  <c r="B42" i="17"/>
  <c r="G48" i="17"/>
  <c r="C48" i="17"/>
  <c r="G107" i="17"/>
  <c r="C107" i="17"/>
  <c r="C85" i="17"/>
  <c r="C54" i="17"/>
  <c r="H54" i="17"/>
  <c r="D100" i="35" s="1"/>
  <c r="B54" i="17"/>
  <c r="G103" i="6"/>
  <c r="G104" i="6"/>
  <c r="B44" i="17"/>
  <c r="H44" i="17"/>
  <c r="H100" i="33" s="1"/>
  <c r="C44" i="17"/>
  <c r="B21" i="17"/>
  <c r="H21" i="17"/>
  <c r="F100" i="30" s="1"/>
  <c r="C21" i="17"/>
  <c r="B36" i="17"/>
  <c r="C36" i="17"/>
  <c r="H36" i="17"/>
  <c r="G100" i="32" s="1"/>
  <c r="H16" i="17"/>
  <c r="C16" i="17"/>
  <c r="B16" i="17"/>
  <c r="B23" i="17"/>
  <c r="C23" i="17"/>
  <c r="H23" i="17"/>
  <c r="H100" i="30" s="1"/>
  <c r="E104" i="32"/>
  <c r="E103" i="32"/>
  <c r="C103" i="35"/>
  <c r="C104" i="35"/>
  <c r="D103" i="6"/>
  <c r="D104" i="6"/>
  <c r="C19" i="17"/>
  <c r="H19" i="17"/>
  <c r="D100" i="30" s="1"/>
  <c r="B19" i="17"/>
  <c r="F104" i="32"/>
  <c r="F103" i="32"/>
  <c r="E104" i="35"/>
  <c r="E103" i="35"/>
  <c r="F103" i="33"/>
  <c r="F104" i="33"/>
  <c r="D104" i="35"/>
  <c r="D103" i="35"/>
  <c r="C15" i="17"/>
  <c r="H15" i="17"/>
  <c r="B15" i="17"/>
  <c r="H104" i="33"/>
  <c r="H103" i="33"/>
  <c r="F103" i="30"/>
  <c r="F104" i="30"/>
  <c r="G103" i="32"/>
  <c r="G104" i="32"/>
  <c r="G92" i="4"/>
  <c r="G95" i="4" s="1"/>
  <c r="M10" i="17"/>
  <c r="H29" i="3" s="1"/>
  <c r="K10" i="17"/>
  <c r="H78" i="3"/>
  <c r="H82" i="3" s="1"/>
  <c r="H83" i="3" s="1"/>
  <c r="H94" i="3" s="1"/>
  <c r="H92" i="3"/>
  <c r="H95" i="3" s="1"/>
  <c r="M5" i="17"/>
  <c r="C29" i="3" s="1"/>
  <c r="K5" i="17"/>
  <c r="C26" i="3" s="1"/>
  <c r="C27" i="3" s="1"/>
  <c r="C78" i="3"/>
  <c r="C82" i="3" s="1"/>
  <c r="C83" i="3" s="1"/>
  <c r="C94" i="3" s="1"/>
  <c r="C33" i="3"/>
  <c r="C32" i="3"/>
  <c r="F103" i="31"/>
  <c r="H103" i="31"/>
  <c r="B27" i="17"/>
  <c r="H30" i="17"/>
  <c r="H100" i="31" s="1"/>
  <c r="B29" i="17"/>
  <c r="C30" i="17"/>
  <c r="H29" i="17"/>
  <c r="G100" i="31" s="1"/>
  <c r="C103" i="31"/>
  <c r="C25" i="17"/>
  <c r="H25" i="17"/>
  <c r="C100" i="31" s="1"/>
  <c r="B30" i="17"/>
  <c r="C29" i="17"/>
  <c r="M8" i="17"/>
  <c r="F29" i="3" s="1"/>
  <c r="K8" i="17"/>
  <c r="F78" i="3"/>
  <c r="F82" i="3" s="1"/>
  <c r="F83" i="3" s="1"/>
  <c r="F94" i="3" s="1"/>
  <c r="D32" i="3"/>
  <c r="D33" i="3"/>
  <c r="F32" i="3"/>
  <c r="F33" i="3"/>
  <c r="K9" i="17"/>
  <c r="M9" i="17"/>
  <c r="G29" i="3" s="1"/>
  <c r="G78" i="3"/>
  <c r="G82" i="3" s="1"/>
  <c r="G83" i="3" s="1"/>
  <c r="G94" i="3" s="1"/>
  <c r="E33" i="3"/>
  <c r="E32" i="3"/>
  <c r="M6" i="17"/>
  <c r="D29" i="3" s="1"/>
  <c r="D78" i="3"/>
  <c r="D82" i="3" s="1"/>
  <c r="D83" i="3" s="1"/>
  <c r="D94" i="3" s="1"/>
  <c r="K6" i="17"/>
  <c r="G32" i="3"/>
  <c r="G33" i="3"/>
  <c r="K7" i="17"/>
  <c r="E78" i="3"/>
  <c r="E82" i="3" s="1"/>
  <c r="E83" i="3" s="1"/>
  <c r="E94" i="3" s="1"/>
  <c r="M7" i="17"/>
  <c r="E29" i="3" s="1"/>
  <c r="G33" i="4"/>
  <c r="H78" i="4"/>
  <c r="F78" i="4"/>
  <c r="E32" i="4"/>
  <c r="M17" i="17"/>
  <c r="H29" i="4" s="1"/>
  <c r="M15" i="17"/>
  <c r="F29" i="4" s="1"/>
  <c r="K15" i="17"/>
  <c r="E78" i="4"/>
  <c r="M14" i="17"/>
  <c r="E29" i="4" s="1"/>
  <c r="K14" i="17"/>
  <c r="G78" i="4"/>
  <c r="M16" i="17"/>
  <c r="G29" i="4" s="1"/>
  <c r="H33" i="4"/>
  <c r="F32" i="4"/>
  <c r="B71" i="15"/>
  <c r="G7" i="17" l="1"/>
  <c r="F104" i="17"/>
  <c r="E97" i="25" s="1"/>
  <c r="E98" i="25" s="1"/>
  <c r="E101" i="25" s="1"/>
  <c r="G12" i="17"/>
  <c r="G25" i="17"/>
  <c r="G42" i="17"/>
  <c r="G50" i="17"/>
  <c r="G85" i="17"/>
  <c r="G49" i="17"/>
  <c r="G19" i="17"/>
  <c r="G21" i="17"/>
  <c r="G13" i="17"/>
  <c r="G92" i="17"/>
  <c r="G72" i="17"/>
  <c r="G57" i="17"/>
  <c r="I64" i="35"/>
  <c r="E112" i="35" s="1"/>
  <c r="F112" i="35" s="1"/>
  <c r="G46" i="17"/>
  <c r="G33" i="17"/>
  <c r="G27" i="17"/>
  <c r="G15" i="17"/>
  <c r="I64" i="32"/>
  <c r="E112" i="32" s="1"/>
  <c r="F112" i="32" s="1"/>
  <c r="I64" i="33"/>
  <c r="E112" i="33" s="1"/>
  <c r="F112" i="33" s="1"/>
  <c r="E96" i="3"/>
  <c r="F96" i="3"/>
  <c r="C96" i="3"/>
  <c r="H26" i="4"/>
  <c r="G26" i="4"/>
  <c r="F26" i="4"/>
  <c r="E26" i="4"/>
  <c r="I64" i="30"/>
  <c r="E112" i="30" s="1"/>
  <c r="F112" i="30" s="1"/>
  <c r="G96" i="3"/>
  <c r="C30" i="3"/>
  <c r="D96" i="3"/>
  <c r="H26" i="3"/>
  <c r="H27" i="3" s="1"/>
  <c r="G26" i="3"/>
  <c r="G27" i="3" s="1"/>
  <c r="F26" i="3"/>
  <c r="F27" i="3" s="1"/>
  <c r="E26" i="3"/>
  <c r="E27" i="3" s="1"/>
  <c r="D26" i="3"/>
  <c r="D27" i="3" s="1"/>
  <c r="G40" i="17"/>
  <c r="G32" i="17"/>
  <c r="G43" i="17"/>
  <c r="G41" i="17"/>
  <c r="G30" i="17"/>
  <c r="G29" i="17"/>
  <c r="G26" i="17"/>
  <c r="G35" i="17"/>
  <c r="G39" i="17"/>
  <c r="G22" i="17"/>
  <c r="G16" i="17"/>
  <c r="F5" i="17"/>
  <c r="D97" i="41" s="1"/>
  <c r="F7" i="17"/>
  <c r="F97" i="41" s="1"/>
  <c r="F8" i="17"/>
  <c r="G23" i="17"/>
  <c r="G20" i="17"/>
  <c r="G18" i="17"/>
  <c r="G5" i="17"/>
  <c r="G8" i="17"/>
  <c r="F9" i="17"/>
  <c r="H97" i="41" s="1"/>
  <c r="G4" i="17"/>
  <c r="F4" i="17"/>
  <c r="I64" i="41"/>
  <c r="E112" i="41" s="1"/>
  <c r="F112" i="41" s="1"/>
  <c r="H82" i="4"/>
  <c r="H83" i="4" s="1"/>
  <c r="H94" i="4" s="1"/>
  <c r="H96" i="4" s="1"/>
  <c r="G100" i="6"/>
  <c r="D100" i="6"/>
  <c r="C100" i="6"/>
  <c r="H100" i="6"/>
  <c r="E100" i="6"/>
  <c r="F100" i="6"/>
  <c r="I64" i="31"/>
  <c r="E112" i="31" s="1"/>
  <c r="F112" i="31" s="1"/>
  <c r="I64" i="34"/>
  <c r="E112" i="34" s="1"/>
  <c r="F112" i="34" s="1"/>
  <c r="C105" i="6"/>
  <c r="H34" i="3"/>
  <c r="H35" i="3" s="1"/>
  <c r="G34" i="3"/>
  <c r="G35" i="3" s="1"/>
  <c r="F34" i="3"/>
  <c r="F35" i="3" s="1"/>
  <c r="E34" i="3"/>
  <c r="E35" i="3" s="1"/>
  <c r="D34" i="3"/>
  <c r="D35" i="3" s="1"/>
  <c r="G82" i="4"/>
  <c r="G83" i="4" s="1"/>
  <c r="G94" i="4" s="1"/>
  <c r="G96" i="4" s="1"/>
  <c r="F82" i="4"/>
  <c r="F83" i="4" s="1"/>
  <c r="F94" i="4" s="1"/>
  <c r="F96" i="4" s="1"/>
  <c r="E82" i="4"/>
  <c r="E83" i="4" s="1"/>
  <c r="E94" i="4" s="1"/>
  <c r="E96" i="4" s="1"/>
  <c r="H82" i="15"/>
  <c r="F27" i="17"/>
  <c r="E97" i="31" s="1"/>
  <c r="F19" i="17"/>
  <c r="D97" i="30" s="1"/>
  <c r="F35" i="17"/>
  <c r="F97" i="32" s="1"/>
  <c r="F58" i="17"/>
  <c r="H97" i="35" s="1"/>
  <c r="F39" i="17"/>
  <c r="C97" i="33" s="1"/>
  <c r="F37" i="17"/>
  <c r="H97" i="32" s="1"/>
  <c r="F57" i="17"/>
  <c r="G97" i="35" s="1"/>
  <c r="F30" i="17"/>
  <c r="H97" i="31" s="1"/>
  <c r="F29" i="17"/>
  <c r="G97" i="31" s="1"/>
  <c r="F15" i="17"/>
  <c r="F23" i="17"/>
  <c r="H97" i="30" s="1"/>
  <c r="F21" i="17"/>
  <c r="F97" i="30" s="1"/>
  <c r="F44" i="17"/>
  <c r="H97" i="33" s="1"/>
  <c r="F54" i="17"/>
  <c r="D97" i="35" s="1"/>
  <c r="F42" i="17"/>
  <c r="F97" i="33" s="1"/>
  <c r="F55" i="17"/>
  <c r="E97" i="35" s="1"/>
  <c r="F53" i="17"/>
  <c r="C97" i="35" s="1"/>
  <c r="F34" i="17"/>
  <c r="E97" i="32" s="1"/>
  <c r="F64" i="17"/>
  <c r="G97" i="20" s="1"/>
  <c r="F11" i="17"/>
  <c r="I64" i="20"/>
  <c r="E112" i="20" s="1"/>
  <c r="F112" i="20" s="1"/>
  <c r="F61" i="17"/>
  <c r="D97" i="20" s="1"/>
  <c r="F32" i="17"/>
  <c r="C97" i="32" s="1"/>
  <c r="F46" i="17"/>
  <c r="C97" i="34" s="1"/>
  <c r="F26" i="17"/>
  <c r="D97" i="31" s="1"/>
  <c r="F68" i="17"/>
  <c r="D97" i="24" s="1"/>
  <c r="F49" i="17"/>
  <c r="F97" i="34" s="1"/>
  <c r="F22" i="17"/>
  <c r="G97" i="30" s="1"/>
  <c r="F50" i="17"/>
  <c r="G97" i="34" s="1"/>
  <c r="F56" i="17"/>
  <c r="F97" i="35" s="1"/>
  <c r="F18" i="17"/>
  <c r="C97" i="30" s="1"/>
  <c r="F14" i="17"/>
  <c r="F25" i="17"/>
  <c r="C97" i="31" s="1"/>
  <c r="F48" i="17"/>
  <c r="E97" i="34" s="1"/>
  <c r="F28" i="17"/>
  <c r="F97" i="31" s="1"/>
  <c r="F16" i="17"/>
  <c r="F36" i="17"/>
  <c r="G97" i="32" s="1"/>
  <c r="F12" i="17"/>
  <c r="F40" i="17"/>
  <c r="D97" i="33" s="1"/>
  <c r="F13" i="17"/>
  <c r="F33" i="17"/>
  <c r="F20" i="17"/>
  <c r="E97" i="30" s="1"/>
  <c r="F43" i="17"/>
  <c r="G97" i="33" s="1"/>
  <c r="F69" i="17"/>
  <c r="E97" i="24" s="1"/>
  <c r="F41" i="17"/>
  <c r="E97" i="33" s="1"/>
  <c r="F62" i="17"/>
  <c r="E97" i="20" s="1"/>
  <c r="F60" i="17"/>
  <c r="C97" i="20" s="1"/>
  <c r="F67" i="17"/>
  <c r="C97" i="24" s="1"/>
  <c r="F72" i="17"/>
  <c r="H97" i="24" s="1"/>
  <c r="F63" i="17"/>
  <c r="F97" i="20" s="1"/>
  <c r="F65" i="17"/>
  <c r="H97" i="20" s="1"/>
  <c r="F71" i="17"/>
  <c r="G97" i="24" s="1"/>
  <c r="F47" i="17"/>
  <c r="D97" i="34" s="1"/>
  <c r="F70" i="17"/>
  <c r="F97" i="24" s="1"/>
  <c r="F51" i="17"/>
  <c r="H97" i="34" s="1"/>
  <c r="I64" i="24"/>
  <c r="E112" i="24" s="1"/>
  <c r="F112" i="24" s="1"/>
  <c r="F88" i="17"/>
  <c r="C97" i="27" s="1"/>
  <c r="F84" i="17"/>
  <c r="F97" i="22" s="1"/>
  <c r="F91" i="17"/>
  <c r="F97" i="27" s="1"/>
  <c r="F90" i="17"/>
  <c r="E97" i="27" s="1"/>
  <c r="F98" i="17"/>
  <c r="F97" i="26" s="1"/>
  <c r="F95" i="17"/>
  <c r="C97" i="26" s="1"/>
  <c r="F85" i="17"/>
  <c r="F107" i="17"/>
  <c r="H97" i="25" s="1"/>
  <c r="F76" i="17"/>
  <c r="E97" i="23" s="1"/>
  <c r="F77" i="17"/>
  <c r="F97" i="23" s="1"/>
  <c r="F86" i="17"/>
  <c r="H97" i="22" s="1"/>
  <c r="F102" i="17"/>
  <c r="C97" i="25" s="1"/>
  <c r="F83" i="17"/>
  <c r="E97" i="22" s="1"/>
  <c r="F103" i="17"/>
  <c r="D97" i="25" s="1"/>
  <c r="F99" i="17"/>
  <c r="G97" i="26" s="1"/>
  <c r="F105" i="17"/>
  <c r="F97" i="25" s="1"/>
  <c r="C97" i="22"/>
  <c r="F96" i="17"/>
  <c r="D97" i="26" s="1"/>
  <c r="F93" i="17"/>
  <c r="H97" i="27" s="1"/>
  <c r="F89" i="17"/>
  <c r="D97" i="27" s="1"/>
  <c r="F97" i="17"/>
  <c r="E97" i="26" s="1"/>
  <c r="F106" i="17"/>
  <c r="G97" i="25" s="1"/>
  <c r="F74" i="17"/>
  <c r="C97" i="23" s="1"/>
  <c r="F82" i="17"/>
  <c r="D97" i="22" s="1"/>
  <c r="F75" i="17"/>
  <c r="D97" i="23" s="1"/>
  <c r="F78" i="17"/>
  <c r="G97" i="23" s="1"/>
  <c r="F100" i="17"/>
  <c r="H97" i="26" s="1"/>
  <c r="F79" i="17"/>
  <c r="H97" i="23" s="1"/>
  <c r="F92" i="17"/>
  <c r="G97" i="27" s="1"/>
  <c r="G34" i="4"/>
  <c r="G35" i="4" s="1"/>
  <c r="C34" i="3"/>
  <c r="C35" i="3" s="1"/>
  <c r="I64" i="22"/>
  <c r="E112" i="22" s="1"/>
  <c r="F112" i="22" s="1"/>
  <c r="I64" i="25"/>
  <c r="E112" i="25" s="1"/>
  <c r="F112" i="25" s="1"/>
  <c r="I64" i="23"/>
  <c r="E112" i="23" s="1"/>
  <c r="F112" i="23" s="1"/>
  <c r="I64" i="26"/>
  <c r="E112" i="26" s="1"/>
  <c r="F112" i="26" s="1"/>
  <c r="I64" i="27"/>
  <c r="E112" i="27" s="1"/>
  <c r="F112" i="27" s="1"/>
  <c r="C106" i="6"/>
  <c r="I106" i="6" s="1"/>
  <c r="I64" i="6"/>
  <c r="E112" i="6" s="1"/>
  <c r="F112" i="6" s="1"/>
  <c r="H96" i="3"/>
  <c r="E33" i="4"/>
  <c r="D32" i="4"/>
  <c r="D33" i="4"/>
  <c r="C32" i="4"/>
  <c r="C33" i="4"/>
  <c r="D78" i="4"/>
  <c r="M13" i="17"/>
  <c r="D29" i="4" s="1"/>
  <c r="K13" i="17"/>
  <c r="M12" i="17"/>
  <c r="C29" i="4" s="1"/>
  <c r="C78" i="4"/>
  <c r="C82" i="4" s="1"/>
  <c r="C83" i="4" s="1"/>
  <c r="C94" i="4" s="1"/>
  <c r="C96" i="4" s="1"/>
  <c r="K12" i="17"/>
  <c r="C26" i="4" s="1"/>
  <c r="C70" i="15"/>
  <c r="C71" i="15" s="1"/>
  <c r="C56" i="15"/>
  <c r="D56" i="15"/>
  <c r="G97" i="22" l="1"/>
  <c r="G98" i="22" s="1"/>
  <c r="G101" i="22" s="1"/>
  <c r="D97" i="32"/>
  <c r="D98" i="32" s="1"/>
  <c r="D101" i="32" s="1"/>
  <c r="H98" i="25"/>
  <c r="H101" i="25" s="1"/>
  <c r="G97" i="41"/>
  <c r="G98" i="41" s="1"/>
  <c r="G101" i="41" s="1"/>
  <c r="G98" i="25"/>
  <c r="G101" i="25" s="1"/>
  <c r="F98" i="25"/>
  <c r="F101" i="25" s="1"/>
  <c r="D98" i="25"/>
  <c r="D101" i="25" s="1"/>
  <c r="C98" i="25"/>
  <c r="C101" i="25" s="1"/>
  <c r="H98" i="26"/>
  <c r="H101" i="26" s="1"/>
  <c r="G98" i="26"/>
  <c r="G101" i="26" s="1"/>
  <c r="F98" i="26"/>
  <c r="F101" i="26" s="1"/>
  <c r="E98" i="26"/>
  <c r="E101" i="26" s="1"/>
  <c r="D98" i="26"/>
  <c r="D101" i="26" s="1"/>
  <c r="C98" i="26"/>
  <c r="C101" i="26" s="1"/>
  <c r="H98" i="27"/>
  <c r="H101" i="27" s="1"/>
  <c r="G98" i="27"/>
  <c r="G101" i="27" s="1"/>
  <c r="F98" i="27"/>
  <c r="F101" i="27" s="1"/>
  <c r="E98" i="27"/>
  <c r="E101" i="27" s="1"/>
  <c r="D98" i="27"/>
  <c r="D101" i="27" s="1"/>
  <c r="C98" i="27"/>
  <c r="C101" i="27" s="1"/>
  <c r="H98" i="22"/>
  <c r="H101" i="22" s="1"/>
  <c r="F98" i="22"/>
  <c r="F101" i="22" s="1"/>
  <c r="E98" i="22"/>
  <c r="E101" i="22" s="1"/>
  <c r="D98" i="22"/>
  <c r="D101" i="22" s="1"/>
  <c r="H98" i="23"/>
  <c r="H101" i="23" s="1"/>
  <c r="G98" i="23"/>
  <c r="G101" i="23" s="1"/>
  <c r="F98" i="23"/>
  <c r="F101" i="23" s="1"/>
  <c r="E98" i="23"/>
  <c r="E101" i="23" s="1"/>
  <c r="D98" i="23"/>
  <c r="D101" i="23" s="1"/>
  <c r="C98" i="23"/>
  <c r="C101" i="23" s="1"/>
  <c r="H98" i="24"/>
  <c r="H101" i="24" s="1"/>
  <c r="G98" i="24"/>
  <c r="G101" i="24" s="1"/>
  <c r="F98" i="24"/>
  <c r="F101" i="24" s="1"/>
  <c r="E98" i="24"/>
  <c r="E101" i="24" s="1"/>
  <c r="D98" i="24"/>
  <c r="D101" i="24" s="1"/>
  <c r="C98" i="24"/>
  <c r="C101" i="24" s="1"/>
  <c r="H98" i="20"/>
  <c r="H101" i="20" s="1"/>
  <c r="G98" i="20"/>
  <c r="G101" i="20" s="1"/>
  <c r="F98" i="20"/>
  <c r="F101" i="20" s="1"/>
  <c r="E98" i="20"/>
  <c r="E101" i="20" s="1"/>
  <c r="D98" i="20"/>
  <c r="D101" i="20" s="1"/>
  <c r="C98" i="20"/>
  <c r="C101" i="20" s="1"/>
  <c r="H98" i="35"/>
  <c r="H101" i="35" s="1"/>
  <c r="G98" i="35"/>
  <c r="G101" i="35" s="1"/>
  <c r="F98" i="35"/>
  <c r="F101" i="35" s="1"/>
  <c r="E98" i="35"/>
  <c r="E101" i="35" s="1"/>
  <c r="D98" i="35"/>
  <c r="D101" i="35" s="1"/>
  <c r="C98" i="35"/>
  <c r="C101" i="35" s="1"/>
  <c r="H98" i="34"/>
  <c r="H101" i="34" s="1"/>
  <c r="G98" i="34"/>
  <c r="G101" i="34" s="1"/>
  <c r="F98" i="34"/>
  <c r="F101" i="34" s="1"/>
  <c r="E98" i="34"/>
  <c r="E101" i="34" s="1"/>
  <c r="D98" i="34"/>
  <c r="D101" i="34" s="1"/>
  <c r="C98" i="34"/>
  <c r="C101" i="34" s="1"/>
  <c r="H98" i="33"/>
  <c r="H101" i="33" s="1"/>
  <c r="G98" i="33"/>
  <c r="G101" i="33" s="1"/>
  <c r="F98" i="33"/>
  <c r="F101" i="33" s="1"/>
  <c r="E98" i="33"/>
  <c r="E101" i="33" s="1"/>
  <c r="D98" i="33"/>
  <c r="D101" i="33" s="1"/>
  <c r="C98" i="33"/>
  <c r="C101" i="33" s="1"/>
  <c r="H98" i="32"/>
  <c r="H101" i="32" s="1"/>
  <c r="G98" i="32"/>
  <c r="G101" i="32" s="1"/>
  <c r="F98" i="32"/>
  <c r="F101" i="32" s="1"/>
  <c r="E98" i="32"/>
  <c r="E101" i="32" s="1"/>
  <c r="C98" i="32"/>
  <c r="C101" i="32" s="1"/>
  <c r="H98" i="31"/>
  <c r="H101" i="31" s="1"/>
  <c r="G98" i="31"/>
  <c r="G101" i="31" s="1"/>
  <c r="F98" i="31"/>
  <c r="F101" i="31" s="1"/>
  <c r="E98" i="31"/>
  <c r="E101" i="31" s="1"/>
  <c r="D98" i="31"/>
  <c r="D101" i="31" s="1"/>
  <c r="C98" i="31"/>
  <c r="C101" i="31" s="1"/>
  <c r="H98" i="30"/>
  <c r="H101" i="30" s="1"/>
  <c r="G98" i="30"/>
  <c r="G101" i="30" s="1"/>
  <c r="F98" i="30"/>
  <c r="F101" i="30" s="1"/>
  <c r="E98" i="30"/>
  <c r="E101" i="30" s="1"/>
  <c r="D98" i="30"/>
  <c r="D101" i="30" s="1"/>
  <c r="C98" i="30"/>
  <c r="C101" i="30" s="1"/>
  <c r="H27" i="4"/>
  <c r="H30" i="4" s="1"/>
  <c r="G27" i="4"/>
  <c r="G30" i="4" s="1"/>
  <c r="F27" i="4"/>
  <c r="F30" i="4" s="1"/>
  <c r="E27" i="4"/>
  <c r="E30" i="4" s="1"/>
  <c r="C27" i="4"/>
  <c r="C30" i="4" s="1"/>
  <c r="I96" i="3"/>
  <c r="E120" i="3" s="1"/>
  <c r="M86" i="15"/>
  <c r="C98" i="22"/>
  <c r="C101" i="22" s="1"/>
  <c r="D26" i="4"/>
  <c r="J86" i="15"/>
  <c r="K86" i="15"/>
  <c r="L86" i="15"/>
  <c r="C97" i="41"/>
  <c r="C98" i="41" s="1"/>
  <c r="H98" i="41"/>
  <c r="H101" i="41" s="1"/>
  <c r="F98" i="41"/>
  <c r="F101" i="41" s="1"/>
  <c r="D98" i="41"/>
  <c r="D101" i="41" s="1"/>
  <c r="G30" i="3"/>
  <c r="F30" i="3"/>
  <c r="D30" i="3"/>
  <c r="M82" i="15"/>
  <c r="H30" i="3"/>
  <c r="E30" i="3"/>
  <c r="L82" i="15"/>
  <c r="K82" i="15"/>
  <c r="J82" i="15"/>
  <c r="I82" i="15"/>
  <c r="D34" i="4"/>
  <c r="D35" i="4" s="1"/>
  <c r="E97" i="6"/>
  <c r="D97" i="6"/>
  <c r="H97" i="6"/>
  <c r="C97" i="6"/>
  <c r="G97" i="6"/>
  <c r="F97" i="6"/>
  <c r="G56" i="15"/>
  <c r="H86" i="15"/>
  <c r="I35" i="3"/>
  <c r="D82" i="4"/>
  <c r="D83" i="4" s="1"/>
  <c r="D94" i="4" s="1"/>
  <c r="D96" i="4" s="1"/>
  <c r="I96" i="4" s="1"/>
  <c r="E120" i="4" s="1"/>
  <c r="C34" i="4"/>
  <c r="C35" i="4" s="1"/>
  <c r="E56" i="15"/>
  <c r="F56" i="15"/>
  <c r="I101" i="35" l="1"/>
  <c r="E111" i="35" s="1"/>
  <c r="F111" i="35" s="1"/>
  <c r="F113" i="35" s="1"/>
  <c r="H121" i="35" s="1"/>
  <c r="I101" i="25"/>
  <c r="E111" i="25" s="1"/>
  <c r="F111" i="25" s="1"/>
  <c r="F113" i="25" s="1"/>
  <c r="H121" i="25" s="1"/>
  <c r="I101" i="26"/>
  <c r="E111" i="26" s="1"/>
  <c r="F111" i="26" s="1"/>
  <c r="F113" i="26" s="1"/>
  <c r="H121" i="26" s="1"/>
  <c r="I101" i="27"/>
  <c r="E111" i="27" s="1"/>
  <c r="F111" i="27" s="1"/>
  <c r="F113" i="27" s="1"/>
  <c r="H121" i="27" s="1"/>
  <c r="I101" i="22"/>
  <c r="E111" i="22" s="1"/>
  <c r="F111" i="22" s="1"/>
  <c r="F113" i="22" s="1"/>
  <c r="H121" i="22" s="1"/>
  <c r="I101" i="23"/>
  <c r="E111" i="23" s="1"/>
  <c r="F111" i="23" s="1"/>
  <c r="F113" i="23" s="1"/>
  <c r="D60" i="14" s="1"/>
  <c r="I101" i="24"/>
  <c r="E111" i="24" s="1"/>
  <c r="F111" i="24" s="1"/>
  <c r="F113" i="24" s="1"/>
  <c r="C60" i="14" s="1"/>
  <c r="I101" i="20"/>
  <c r="E111" i="20" s="1"/>
  <c r="F111" i="20" s="1"/>
  <c r="F113" i="20" s="1"/>
  <c r="H121" i="20" s="1"/>
  <c r="I101" i="34"/>
  <c r="E111" i="34" s="1"/>
  <c r="F111" i="34" s="1"/>
  <c r="F113" i="34" s="1"/>
  <c r="H121" i="34" s="1"/>
  <c r="I101" i="33"/>
  <c r="E111" i="33" s="1"/>
  <c r="F111" i="33" s="1"/>
  <c r="F113" i="33" s="1"/>
  <c r="H121" i="33" s="1"/>
  <c r="H10" i="28" s="1"/>
  <c r="I101" i="32"/>
  <c r="E111" i="32" s="1"/>
  <c r="F111" i="32" s="1"/>
  <c r="F113" i="32" s="1"/>
  <c r="H121" i="32" s="1"/>
  <c r="I101" i="31"/>
  <c r="E111" i="31" s="1"/>
  <c r="F111" i="31" s="1"/>
  <c r="F113" i="31" s="1"/>
  <c r="H121" i="31" s="1"/>
  <c r="I101" i="30"/>
  <c r="E111" i="30" s="1"/>
  <c r="F111" i="30" s="1"/>
  <c r="F113" i="30" s="1"/>
  <c r="H121" i="30" s="1"/>
  <c r="F5" i="36" s="1"/>
  <c r="E8" i="40" s="1"/>
  <c r="H98" i="6"/>
  <c r="H101" i="6" s="1"/>
  <c r="G98" i="6"/>
  <c r="G101" i="6" s="1"/>
  <c r="F98" i="6"/>
  <c r="F101" i="6" s="1"/>
  <c r="E98" i="6"/>
  <c r="E101" i="6" s="1"/>
  <c r="D98" i="6"/>
  <c r="D101" i="6" s="1"/>
  <c r="C98" i="6"/>
  <c r="C101" i="6" s="1"/>
  <c r="D27" i="4"/>
  <c r="I26" i="4" s="1"/>
  <c r="I86" i="15"/>
  <c r="H87" i="15" s="1"/>
  <c r="C101" i="41"/>
  <c r="I101" i="41" s="1"/>
  <c r="E111" i="41" s="1"/>
  <c r="F111" i="41" s="1"/>
  <c r="F113" i="41" s="1"/>
  <c r="H121" i="41" s="1"/>
  <c r="H5" i="28" s="1"/>
  <c r="H83" i="15"/>
  <c r="I30" i="3"/>
  <c r="E119" i="3" s="1"/>
  <c r="F119" i="3" s="1"/>
  <c r="I26" i="3"/>
  <c r="I35" i="4"/>
  <c r="H56" i="15"/>
  <c r="F120" i="4"/>
  <c r="F55" i="15" s="1"/>
  <c r="F120" i="3"/>
  <c r="D55" i="15" s="1"/>
  <c r="L18" i="14" l="1"/>
  <c r="L24" i="14" s="1"/>
  <c r="H121" i="24"/>
  <c r="M5" i="36" s="1"/>
  <c r="E15" i="40" s="1"/>
  <c r="F60" i="14"/>
  <c r="F74" i="14" s="1"/>
  <c r="H121" i="23"/>
  <c r="H15" i="28" s="1"/>
  <c r="H60" i="14"/>
  <c r="H74" i="14" s="1"/>
  <c r="E60" i="14"/>
  <c r="E74" i="14" s="1"/>
  <c r="M18" i="14"/>
  <c r="M32" i="14" s="1"/>
  <c r="K18" i="14"/>
  <c r="K24" i="14" s="1"/>
  <c r="J18" i="14"/>
  <c r="I5" i="36"/>
  <c r="E11" i="40" s="1"/>
  <c r="J19" i="14"/>
  <c r="J26" i="14" s="1"/>
  <c r="J28" i="14" s="1"/>
  <c r="I18" i="14"/>
  <c r="H9" i="28"/>
  <c r="H5" i="36"/>
  <c r="E10" i="40" s="1"/>
  <c r="I19" i="14"/>
  <c r="I26" i="14" s="1"/>
  <c r="I28" i="14" s="1"/>
  <c r="H4" i="36" s="1"/>
  <c r="G19" i="14"/>
  <c r="G30" i="14" s="1"/>
  <c r="H7" i="28"/>
  <c r="I101" i="6"/>
  <c r="E111" i="6" s="1"/>
  <c r="F111" i="6" s="1"/>
  <c r="F113" i="6" s="1"/>
  <c r="H121" i="6" s="1"/>
  <c r="E5" i="36" s="1"/>
  <c r="E7" i="40" s="1"/>
  <c r="E3" i="38"/>
  <c r="D30" i="4"/>
  <c r="I30" i="4" s="1"/>
  <c r="E119" i="4" s="1"/>
  <c r="F119" i="4" s="1"/>
  <c r="J88" i="15"/>
  <c r="D5" i="36"/>
  <c r="E6" i="40" s="1"/>
  <c r="E19" i="14"/>
  <c r="E18" i="14" s="1"/>
  <c r="E55" i="15"/>
  <c r="F57" i="15"/>
  <c r="F58" i="15" s="1"/>
  <c r="G18" i="14"/>
  <c r="A83" i="15"/>
  <c r="A90" i="15" s="1"/>
  <c r="B95" i="15" s="1"/>
  <c r="D74" i="14"/>
  <c r="D66" i="14"/>
  <c r="C74" i="14"/>
  <c r="C66" i="14"/>
  <c r="C59" i="15"/>
  <c r="H18" i="28"/>
  <c r="G15" i="36"/>
  <c r="E19" i="40" s="1"/>
  <c r="G61" i="14"/>
  <c r="G72" i="14" s="1"/>
  <c r="H17" i="28"/>
  <c r="F15" i="36"/>
  <c r="E18" i="40" s="1"/>
  <c r="F61" i="14"/>
  <c r="H16" i="28"/>
  <c r="E15" i="36"/>
  <c r="E17" i="40" s="1"/>
  <c r="E61" i="14"/>
  <c r="E72" i="14" s="1"/>
  <c r="H13" i="28"/>
  <c r="L5" i="36"/>
  <c r="E14" i="40" s="1"/>
  <c r="M19" i="14"/>
  <c r="H12" i="28"/>
  <c r="K5" i="36"/>
  <c r="E13" i="40" s="1"/>
  <c r="L19" i="14"/>
  <c r="H11" i="28"/>
  <c r="J5" i="36"/>
  <c r="E12" i="40" s="1"/>
  <c r="K19" i="14"/>
  <c r="H8" i="28"/>
  <c r="G5" i="36"/>
  <c r="E9" i="40" s="1"/>
  <c r="H19" i="14"/>
  <c r="H18" i="14" s="1"/>
  <c r="H32" i="14" s="1"/>
  <c r="H19" i="28"/>
  <c r="H15" i="36"/>
  <c r="E20" i="40" s="1"/>
  <c r="H61" i="14"/>
  <c r="C61" i="14" l="1"/>
  <c r="C72" i="14" s="1"/>
  <c r="D61" i="14"/>
  <c r="D72" i="14" s="1"/>
  <c r="E66" i="14"/>
  <c r="H14" i="28"/>
  <c r="L32" i="14"/>
  <c r="F66" i="14"/>
  <c r="D15" i="36"/>
  <c r="E16" i="40" s="1"/>
  <c r="H66" i="14"/>
  <c r="G26" i="14"/>
  <c r="G28" i="14" s="1"/>
  <c r="M24" i="14"/>
  <c r="K32" i="14"/>
  <c r="J32" i="14"/>
  <c r="J24" i="14"/>
  <c r="J30" i="14"/>
  <c r="I24" i="14"/>
  <c r="I32" i="14"/>
  <c r="I30" i="14"/>
  <c r="H6" i="28"/>
  <c r="F19" i="14"/>
  <c r="F26" i="14" s="1"/>
  <c r="I8" i="36"/>
  <c r="G42" i="18" s="1"/>
  <c r="I4" i="36"/>
  <c r="E57" i="15"/>
  <c r="B83" i="15"/>
  <c r="B90" i="15" s="1"/>
  <c r="B92" i="15" s="1"/>
  <c r="E59" i="15"/>
  <c r="H24" i="14"/>
  <c r="L26" i="14"/>
  <c r="L28" i="14" s="1"/>
  <c r="K4" i="36" s="1"/>
  <c r="L30" i="14"/>
  <c r="K26" i="14"/>
  <c r="K28" i="14" s="1"/>
  <c r="J4" i="36" s="1"/>
  <c r="K30" i="14"/>
  <c r="M26" i="14"/>
  <c r="M28" i="14" s="1"/>
  <c r="L4" i="36" s="1"/>
  <c r="M30" i="14"/>
  <c r="F68" i="14"/>
  <c r="F70" i="14" s="1"/>
  <c r="F72" i="14"/>
  <c r="H68" i="14"/>
  <c r="H70" i="14" s="1"/>
  <c r="H72" i="14"/>
  <c r="H26" i="14"/>
  <c r="H28" i="14" s="1"/>
  <c r="G4" i="36" s="1"/>
  <c r="H30" i="14"/>
  <c r="G68" i="14"/>
  <c r="G60" i="14"/>
  <c r="G32" i="14"/>
  <c r="G24" i="14"/>
  <c r="H11" i="36"/>
  <c r="C10" i="40"/>
  <c r="F18" i="14"/>
  <c r="I29" i="14"/>
  <c r="H8" i="36"/>
  <c r="F42" i="18" s="1"/>
  <c r="J29" i="14"/>
  <c r="E30" i="14"/>
  <c r="H7" i="36"/>
  <c r="A92" i="15"/>
  <c r="E68" i="14"/>
  <c r="D68" i="14"/>
  <c r="C68" i="14"/>
  <c r="F30" i="14" l="1"/>
  <c r="C35" i="14" s="1"/>
  <c r="C55" i="15" s="1"/>
  <c r="G18" i="36"/>
  <c r="F45" i="18" s="1"/>
  <c r="H14" i="36"/>
  <c r="E18" i="36"/>
  <c r="D45" i="18" s="1"/>
  <c r="F14" i="36"/>
  <c r="F8" i="36"/>
  <c r="D42" i="18" s="1"/>
  <c r="F4" i="36"/>
  <c r="F11" i="36" s="1"/>
  <c r="E58" i="15"/>
  <c r="G29" i="14"/>
  <c r="G10" i="40"/>
  <c r="C30" i="40" s="1"/>
  <c r="H10" i="40"/>
  <c r="H30" i="40" s="1"/>
  <c r="G70" i="14"/>
  <c r="G66" i="14"/>
  <c r="G74" i="14"/>
  <c r="I7" i="36"/>
  <c r="I9" i="36" s="1"/>
  <c r="C11" i="40"/>
  <c r="F28" i="14"/>
  <c r="F32" i="14"/>
  <c r="F24" i="14"/>
  <c r="E26" i="14"/>
  <c r="H9" i="36"/>
  <c r="H29" i="14"/>
  <c r="G8" i="36"/>
  <c r="E42" i="18" s="1"/>
  <c r="C9" i="40"/>
  <c r="H71" i="14"/>
  <c r="F71" i="14"/>
  <c r="M29" i="14"/>
  <c r="L8" i="36"/>
  <c r="J42" i="18" s="1"/>
  <c r="L29" i="14"/>
  <c r="K8" i="36"/>
  <c r="I42" i="18" s="1"/>
  <c r="J8" i="36"/>
  <c r="H42" i="18" s="1"/>
  <c r="K29" i="14"/>
  <c r="I11" i="36"/>
  <c r="C70" i="14"/>
  <c r="E70" i="14"/>
  <c r="D70" i="14"/>
  <c r="A95" i="15"/>
  <c r="D18" i="36" l="1"/>
  <c r="C45" i="18" s="1"/>
  <c r="E14" i="36"/>
  <c r="C17" i="40" s="1"/>
  <c r="D71" i="14"/>
  <c r="D14" i="36"/>
  <c r="C16" i="40" s="1"/>
  <c r="C71" i="14"/>
  <c r="M4" i="36"/>
  <c r="C15" i="40" s="1"/>
  <c r="F18" i="36"/>
  <c r="E45" i="18" s="1"/>
  <c r="G14" i="36"/>
  <c r="G17" i="36" s="1"/>
  <c r="G19" i="36" s="1"/>
  <c r="F59" i="15"/>
  <c r="F60" i="15" s="1"/>
  <c r="E8" i="36"/>
  <c r="C42" i="18" s="1"/>
  <c r="E4" i="36"/>
  <c r="E7" i="36" s="1"/>
  <c r="H55" i="15"/>
  <c r="E60" i="15"/>
  <c r="G11" i="40"/>
  <c r="C31" i="40" s="1"/>
  <c r="H11" i="40"/>
  <c r="H31" i="40" s="1"/>
  <c r="H9" i="40"/>
  <c r="H29" i="40" s="1"/>
  <c r="G9" i="40"/>
  <c r="C29" i="40" s="1"/>
  <c r="F29" i="14"/>
  <c r="F7" i="36"/>
  <c r="F9" i="36" s="1"/>
  <c r="C8" i="40"/>
  <c r="G71" i="14"/>
  <c r="J7" i="36"/>
  <c r="J9" i="36" s="1"/>
  <c r="C12" i="40"/>
  <c r="L7" i="36"/>
  <c r="L9" i="36" s="1"/>
  <c r="C14" i="40"/>
  <c r="K11" i="36"/>
  <c r="C13" i="40"/>
  <c r="F17" i="36"/>
  <c r="C18" i="40"/>
  <c r="H17" i="36"/>
  <c r="H19" i="36" s="1"/>
  <c r="C20" i="40"/>
  <c r="G11" i="36"/>
  <c r="E28" i="14"/>
  <c r="H59" i="15"/>
  <c r="E32" i="14"/>
  <c r="C36" i="14" s="1"/>
  <c r="E24" i="14"/>
  <c r="G7" i="36"/>
  <c r="G9" i="36" s="1"/>
  <c r="J11" i="36"/>
  <c r="L11" i="36"/>
  <c r="H21" i="36"/>
  <c r="F21" i="36"/>
  <c r="K7" i="36"/>
  <c r="K9" i="36" s="1"/>
  <c r="I72" i="14"/>
  <c r="E71" i="14"/>
  <c r="E9" i="36" l="1"/>
  <c r="F19" i="36"/>
  <c r="G21" i="36"/>
  <c r="C19" i="40"/>
  <c r="G19" i="40" s="1"/>
  <c r="C39" i="40" s="1"/>
  <c r="D4" i="36"/>
  <c r="D11" i="36" s="1"/>
  <c r="B81" i="15"/>
  <c r="B94" i="15" s="1"/>
  <c r="E10" i="28" s="1"/>
  <c r="H16" i="40"/>
  <c r="H36" i="40" s="1"/>
  <c r="G16" i="40"/>
  <c r="C36" i="40" s="1"/>
  <c r="H20" i="40"/>
  <c r="H40" i="40" s="1"/>
  <c r="G20" i="40"/>
  <c r="C40" i="40" s="1"/>
  <c r="G15" i="40"/>
  <c r="C35" i="40" s="1"/>
  <c r="H15" i="40"/>
  <c r="H35" i="40" s="1"/>
  <c r="H17" i="40"/>
  <c r="H37" i="40" s="1"/>
  <c r="G17" i="40"/>
  <c r="C37" i="40" s="1"/>
  <c r="G8" i="40"/>
  <c r="C28" i="40" s="1"/>
  <c r="H8" i="40"/>
  <c r="H28" i="40" s="1"/>
  <c r="H18" i="40"/>
  <c r="H38" i="40" s="1"/>
  <c r="G18" i="40"/>
  <c r="C38" i="40" s="1"/>
  <c r="H13" i="40"/>
  <c r="H33" i="40" s="1"/>
  <c r="G13" i="40"/>
  <c r="C33" i="40" s="1"/>
  <c r="H14" i="40"/>
  <c r="H34" i="40" s="1"/>
  <c r="G14" i="40"/>
  <c r="C34" i="40" s="1"/>
  <c r="H12" i="40"/>
  <c r="H32" i="40" s="1"/>
  <c r="G12" i="40"/>
  <c r="C32" i="40" s="1"/>
  <c r="E11" i="36"/>
  <c r="C7" i="40"/>
  <c r="E12" i="38"/>
  <c r="E13" i="38"/>
  <c r="E8" i="38"/>
  <c r="D8" i="36"/>
  <c r="B10" i="38"/>
  <c r="B12" i="38"/>
  <c r="B13" i="38"/>
  <c r="E29" i="14"/>
  <c r="C93" i="14" s="1"/>
  <c r="B82" i="15"/>
  <c r="D87" i="14"/>
  <c r="D103" i="14"/>
  <c r="C95" i="14"/>
  <c r="C79" i="14"/>
  <c r="M11" i="36"/>
  <c r="M7" i="36"/>
  <c r="M9" i="36" s="1"/>
  <c r="E21" i="36"/>
  <c r="E17" i="36"/>
  <c r="E19" i="36" s="1"/>
  <c r="D21" i="36"/>
  <c r="D17" i="36"/>
  <c r="D19" i="36" s="1"/>
  <c r="H19" i="40" l="1"/>
  <c r="H39" i="40" s="1"/>
  <c r="B93" i="15"/>
  <c r="E9" i="28" s="1"/>
  <c r="D7" i="36"/>
  <c r="D9" i="36" s="1"/>
  <c r="C6" i="40"/>
  <c r="H6" i="40" s="1"/>
  <c r="B42" i="18"/>
  <c r="C57" i="15"/>
  <c r="C58" i="15" s="1"/>
  <c r="D57" i="15"/>
  <c r="D58" i="15" s="1"/>
  <c r="H7" i="40"/>
  <c r="H27" i="40" s="1"/>
  <c r="G7" i="40"/>
  <c r="C27" i="40" s="1"/>
  <c r="C77" i="14"/>
  <c r="E14" i="28" s="1"/>
  <c r="E15" i="28"/>
  <c r="D59" i="15" l="1"/>
  <c r="D34" i="14"/>
  <c r="C50" i="15" s="1"/>
  <c r="G6" i="40"/>
  <c r="C26" i="40" s="1"/>
  <c r="C43" i="40" s="1"/>
  <c r="F29" i="40" s="1"/>
  <c r="K13" i="18"/>
  <c r="K31" i="18"/>
  <c r="G23" i="18" s="1"/>
  <c r="K28" i="18" s="1"/>
  <c r="C60" i="15"/>
  <c r="B6" i="38"/>
  <c r="H26" i="40"/>
  <c r="I21" i="40"/>
  <c r="E6" i="38"/>
  <c r="E10" i="38"/>
  <c r="B9" i="38"/>
  <c r="G21" i="40" l="1"/>
  <c r="K29" i="18"/>
  <c r="G26" i="18" s="1"/>
  <c r="G55" i="15"/>
  <c r="D60" i="15"/>
  <c r="G59" i="15"/>
  <c r="C98" i="14" s="1"/>
  <c r="G43" i="40"/>
  <c r="F26" i="40"/>
  <c r="F30" i="40"/>
  <c r="F31" i="40"/>
  <c r="F28" i="40"/>
  <c r="F40" i="40"/>
  <c r="F39" i="40"/>
  <c r="F34" i="40"/>
  <c r="F32" i="40"/>
  <c r="F36" i="40"/>
  <c r="F35" i="40"/>
  <c r="F37" i="40"/>
  <c r="F38" i="40"/>
  <c r="F33" i="40"/>
  <c r="F27" i="40"/>
  <c r="I21" i="36"/>
  <c r="D22" i="36"/>
  <c r="A81" i="15" l="1"/>
  <c r="A94" i="15" s="1"/>
  <c r="E8" i="28" s="1"/>
  <c r="E12" i="28" s="1"/>
  <c r="C100" i="14"/>
  <c r="A82" i="15"/>
  <c r="A93" i="15" s="1"/>
  <c r="I26" i="40"/>
  <c r="I33" i="40"/>
  <c r="I39" i="40"/>
  <c r="I30" i="40"/>
  <c r="I31" i="40"/>
  <c r="I35" i="40"/>
  <c r="I40" i="40"/>
  <c r="I34" i="40"/>
  <c r="I36" i="40"/>
  <c r="I37" i="40"/>
  <c r="I38" i="40"/>
  <c r="I32" i="40"/>
  <c r="I28" i="40"/>
  <c r="I27" i="40"/>
  <c r="K61" i="36"/>
  <c r="C35" i="36"/>
  <c r="H10" i="36"/>
  <c r="I10" i="36"/>
  <c r="F20" i="36"/>
  <c r="G20" i="36"/>
  <c r="J10" i="36"/>
  <c r="H20" i="36"/>
  <c r="L10" i="36"/>
  <c r="K10" i="36"/>
  <c r="M10" i="36"/>
  <c r="D20" i="36"/>
  <c r="E20" i="36"/>
  <c r="B21" i="38"/>
  <c r="C34" i="36"/>
  <c r="F10" i="36"/>
  <c r="G10" i="36"/>
  <c r="D10" i="36"/>
  <c r="E10" i="36"/>
  <c r="B29" i="36"/>
  <c r="K48" i="36"/>
  <c r="A20" i="36"/>
  <c r="A10" i="36"/>
  <c r="A23" i="36"/>
  <c r="G24" i="18"/>
  <c r="D48" i="36" l="1"/>
  <c r="C84" i="14"/>
  <c r="E4" i="38"/>
  <c r="B7" i="38"/>
  <c r="E7" i="28"/>
  <c r="E11" i="28" s="1"/>
  <c r="B18" i="38"/>
  <c r="D104" i="14"/>
  <c r="H98" i="14" s="1"/>
  <c r="C82" i="14"/>
  <c r="D49" i="36"/>
  <c r="C34" i="14"/>
  <c r="B50" i="15" s="1"/>
  <c r="D23" i="36"/>
  <c r="H59" i="36" s="1"/>
  <c r="G25" i="18"/>
  <c r="D50" i="36" l="1"/>
  <c r="E67" i="36"/>
  <c r="F101" i="14"/>
  <c r="D88" i="14"/>
  <c r="H82" i="14" s="1"/>
  <c r="K49" i="36"/>
  <c r="H49" i="36"/>
  <c r="H24" i="18"/>
  <c r="H14" i="16" l="1"/>
  <c r="D14" i="16"/>
  <c r="J4" i="16"/>
  <c r="M4" i="16"/>
  <c r="K4" i="16"/>
  <c r="G14" i="16"/>
  <c r="L4" i="16"/>
  <c r="F14" i="16"/>
  <c r="E14" i="16"/>
  <c r="F85" i="14"/>
  <c r="D16" i="16"/>
  <c r="G15" i="16"/>
  <c r="E16" i="16"/>
  <c r="D15" i="16"/>
  <c r="H16" i="16"/>
  <c r="H15" i="16"/>
  <c r="F15" i="16"/>
  <c r="E15" i="16"/>
  <c r="G16" i="16"/>
  <c r="F16" i="16"/>
  <c r="F4" i="16"/>
  <c r="I4" i="16"/>
  <c r="G4" i="16"/>
  <c r="E4" i="16"/>
  <c r="H4" i="16"/>
  <c r="D4" i="16"/>
  <c r="D5" i="16"/>
  <c r="J6" i="16"/>
  <c r="K6" i="16"/>
  <c r="I6" i="16"/>
  <c r="L6" i="16"/>
  <c r="H6" i="16"/>
  <c r="K5" i="16"/>
  <c r="M5" i="16"/>
  <c r="M6" i="16"/>
  <c r="H5" i="16"/>
  <c r="L5" i="16"/>
  <c r="J5" i="16"/>
  <c r="I5" i="16"/>
  <c r="G6" i="16"/>
  <c r="G5" i="16"/>
  <c r="F6" i="16"/>
  <c r="F5" i="16"/>
  <c r="E6" i="16"/>
  <c r="E5" i="16"/>
  <c r="B4" i="38"/>
  <c r="F18" i="16"/>
  <c r="H8" i="16"/>
  <c r="D6" i="16"/>
  <c r="D11" i="16" s="1"/>
  <c r="K8" i="16"/>
  <c r="M8" i="16"/>
  <c r="D18" i="16"/>
  <c r="I8" i="16"/>
  <c r="E8" i="16"/>
  <c r="J8" i="16"/>
  <c r="E18" i="16"/>
  <c r="F8" i="16"/>
  <c r="H18" i="16"/>
  <c r="D8" i="16"/>
  <c r="E7" i="38"/>
  <c r="G18" i="16"/>
  <c r="L8" i="16"/>
  <c r="G8" i="16"/>
  <c r="H25" i="18"/>
  <c r="L11" i="16" l="1"/>
  <c r="K11" i="16"/>
  <c r="J11" i="16"/>
  <c r="G21" i="16"/>
  <c r="D21" i="16"/>
  <c r="F21" i="16"/>
  <c r="E21" i="16"/>
  <c r="H21" i="16"/>
  <c r="G17" i="16"/>
  <c r="G19" i="16" s="1"/>
  <c r="H17" i="16"/>
  <c r="H19" i="16" s="1"/>
  <c r="E17" i="16"/>
  <c r="E19" i="16" s="1"/>
  <c r="D17" i="16"/>
  <c r="D19" i="16" s="1"/>
  <c r="F17" i="16"/>
  <c r="F19" i="16" s="1"/>
  <c r="G11" i="16"/>
  <c r="F11" i="16"/>
  <c r="M11" i="16"/>
  <c r="L7" i="16"/>
  <c r="L9" i="16" s="1"/>
  <c r="H7" i="16"/>
  <c r="H9" i="16" s="1"/>
  <c r="I7" i="16"/>
  <c r="I9" i="16" s="1"/>
  <c r="K7" i="16"/>
  <c r="K9" i="16" s="1"/>
  <c r="M7" i="16"/>
  <c r="M9" i="16" s="1"/>
  <c r="J7" i="16"/>
  <c r="J9" i="16" s="1"/>
  <c r="H11" i="16"/>
  <c r="I11" i="16"/>
  <c r="G7" i="16"/>
  <c r="G9" i="16" s="1"/>
  <c r="F7" i="16"/>
  <c r="F9" i="16" s="1"/>
  <c r="E7" i="16"/>
  <c r="E9" i="16" s="1"/>
  <c r="D7" i="16"/>
  <c r="D9" i="16" s="1"/>
  <c r="E11" i="16"/>
  <c r="G5" i="18"/>
  <c r="G7" i="18" s="1"/>
  <c r="C36" i="36"/>
  <c r="I21" i="16" l="1"/>
  <c r="D22" i="16"/>
  <c r="K10" i="18"/>
  <c r="K11" i="18" s="1"/>
  <c r="G8" i="18" s="1"/>
  <c r="G6" i="18"/>
  <c r="C37" i="36"/>
  <c r="J10" i="16" l="1"/>
  <c r="H20" i="16"/>
  <c r="G20" i="16"/>
  <c r="D20" i="16"/>
  <c r="E20" i="16"/>
  <c r="F20" i="16"/>
  <c r="B29" i="16"/>
  <c r="C39" i="16"/>
  <c r="B23" i="38" s="1"/>
  <c r="C40" i="16"/>
  <c r="D40" i="16" s="1"/>
  <c r="D10" i="16"/>
  <c r="L10" i="16"/>
  <c r="E10" i="16"/>
  <c r="A10" i="16"/>
  <c r="F10" i="16"/>
  <c r="I10" i="16"/>
  <c r="A23" i="16"/>
  <c r="A20" i="16"/>
  <c r="H10" i="16"/>
  <c r="G10" i="16"/>
  <c r="M10" i="16"/>
  <c r="K10" i="16"/>
  <c r="C49" i="16"/>
  <c r="C57" i="16"/>
  <c r="C56" i="16"/>
  <c r="C58" i="16" s="1"/>
  <c r="D41" i="16"/>
  <c r="H6" i="18"/>
  <c r="H7" i="18" s="1"/>
  <c r="C41" i="16" s="1"/>
  <c r="B24" i="38" s="1"/>
  <c r="D51" i="36"/>
  <c r="K52" i="36" s="1"/>
  <c r="B22" i="38"/>
  <c r="D39" i="16" l="1"/>
  <c r="D42" i="16" s="1"/>
  <c r="E75" i="16" s="1"/>
  <c r="F16" i="28" s="1"/>
  <c r="E23" i="28"/>
  <c r="C42" i="16"/>
  <c r="C48" i="16" s="1"/>
  <c r="C51" i="16" s="1"/>
  <c r="E91" i="16" s="1"/>
  <c r="D23" i="16"/>
  <c r="G73" i="16" s="1"/>
  <c r="E24" i="28"/>
  <c r="D53" i="36"/>
  <c r="J72" i="16" l="1"/>
  <c r="K72" i="16" s="1"/>
  <c r="E17" i="28"/>
  <c r="D72" i="16"/>
  <c r="E72" i="16" s="1"/>
  <c r="K76" i="16" s="1"/>
  <c r="D75" i="16"/>
  <c r="E16" i="28" s="1"/>
  <c r="D73" i="16"/>
  <c r="E73" i="16" s="1"/>
  <c r="A61" i="16"/>
  <c r="G85" i="16"/>
  <c r="J73" i="16"/>
  <c r="K73" i="16" s="1"/>
  <c r="J85" i="16"/>
  <c r="K54" i="36"/>
  <c r="K56" i="36" s="1"/>
  <c r="J76" i="16" l="1"/>
  <c r="D74" i="16"/>
  <c r="E74" i="16" s="1"/>
  <c r="E77" i="16" s="1"/>
  <c r="C46" i="40"/>
  <c r="G46" i="40"/>
  <c r="K58" i="36"/>
  <c r="K59" i="36"/>
  <c r="B20" i="38"/>
  <c r="K78" i="16" l="1"/>
  <c r="K82" i="16" s="1"/>
  <c r="K85" i="16" s="1"/>
  <c r="D77" i="16"/>
  <c r="J78" i="16" s="1"/>
  <c r="B5" i="38"/>
  <c r="E11" i="38" s="1"/>
  <c r="F57" i="40"/>
  <c r="F59" i="40"/>
  <c r="F61" i="40"/>
  <c r="F63" i="40"/>
  <c r="F65" i="40"/>
  <c r="F67" i="40"/>
  <c r="F69" i="40"/>
  <c r="F58" i="40"/>
  <c r="F60" i="40"/>
  <c r="F62" i="40"/>
  <c r="F64" i="40"/>
  <c r="F66" i="40"/>
  <c r="F68" i="40"/>
  <c r="F70" i="40"/>
  <c r="F56" i="40"/>
  <c r="G49" i="40"/>
  <c r="G51" i="40" s="1"/>
  <c r="I29" i="40"/>
  <c r="K62" i="36"/>
  <c r="E68" i="36" s="1"/>
  <c r="E70" i="36" s="1"/>
  <c r="E9" i="38"/>
  <c r="C60" i="40"/>
  <c r="C80" i="40" s="1"/>
  <c r="F80" i="40" s="1"/>
  <c r="C61" i="40"/>
  <c r="C81" i="40" s="1"/>
  <c r="F81" i="40" s="1"/>
  <c r="C66" i="40"/>
  <c r="C86" i="40" s="1"/>
  <c r="F86" i="40" s="1"/>
  <c r="C67" i="40"/>
  <c r="C87" i="40" s="1"/>
  <c r="F87" i="40" s="1"/>
  <c r="C63" i="40"/>
  <c r="C83" i="40" s="1"/>
  <c r="F83" i="40" s="1"/>
  <c r="C69" i="40"/>
  <c r="C89" i="40" s="1"/>
  <c r="F89" i="40" s="1"/>
  <c r="C62" i="40"/>
  <c r="C82" i="40" s="1"/>
  <c r="F82" i="40" s="1"/>
  <c r="C49" i="40"/>
  <c r="C51" i="40" s="1"/>
  <c r="C58" i="40"/>
  <c r="C78" i="40" s="1"/>
  <c r="C65" i="40"/>
  <c r="C85" i="40" s="1"/>
  <c r="F85" i="40" s="1"/>
  <c r="C59" i="40"/>
  <c r="C79" i="40" s="1"/>
  <c r="F79" i="40" s="1"/>
  <c r="C68" i="40"/>
  <c r="C88" i="40" s="1"/>
  <c r="F88" i="40" s="1"/>
  <c r="C70" i="40"/>
  <c r="C90" i="40" s="1"/>
  <c r="F90" i="40" s="1"/>
  <c r="C64" i="40"/>
  <c r="C84" i="40" s="1"/>
  <c r="F84" i="40" s="1"/>
  <c r="C57" i="40"/>
  <c r="C77" i="40" s="1"/>
  <c r="F77" i="40" s="1"/>
  <c r="C56" i="40"/>
  <c r="E20" i="28"/>
  <c r="K63" i="36"/>
  <c r="H63" i="36" s="1"/>
  <c r="K84" i="16" l="1"/>
  <c r="J82" i="16"/>
  <c r="J86" i="16" s="1"/>
  <c r="E21" i="28" s="1"/>
  <c r="J80" i="16"/>
  <c r="J84" i="16" s="1"/>
  <c r="B11" i="38"/>
  <c r="D98" i="40"/>
  <c r="H90" i="40"/>
  <c r="I70" i="40"/>
  <c r="H86" i="40"/>
  <c r="I66" i="40"/>
  <c r="H82" i="40"/>
  <c r="I62" i="40"/>
  <c r="H78" i="40"/>
  <c r="I58" i="40"/>
  <c r="H87" i="40"/>
  <c r="I67" i="40"/>
  <c r="H83" i="40"/>
  <c r="I63" i="40"/>
  <c r="H79" i="40"/>
  <c r="I59" i="40"/>
  <c r="H76" i="40"/>
  <c r="I56" i="40"/>
  <c r="F71" i="40"/>
  <c r="H88" i="40"/>
  <c r="I68" i="40"/>
  <c r="H84" i="40"/>
  <c r="I64" i="40"/>
  <c r="H80" i="40"/>
  <c r="I60" i="40"/>
  <c r="H89" i="40"/>
  <c r="I69" i="40"/>
  <c r="H85" i="40"/>
  <c r="I65" i="40"/>
  <c r="H81" i="40"/>
  <c r="I61" i="40"/>
  <c r="H77" i="40"/>
  <c r="I57" i="40"/>
  <c r="C76" i="40"/>
  <c r="C71" i="40"/>
  <c r="F78" i="40"/>
  <c r="C98" i="40"/>
  <c r="E74" i="36"/>
  <c r="E92" i="16" l="1"/>
  <c r="E94" i="16" s="1"/>
  <c r="E98" i="16" s="1"/>
  <c r="G92" i="16" s="1"/>
  <c r="E19" i="28"/>
  <c r="A76" i="36"/>
  <c r="H67" i="36"/>
  <c r="C103" i="40"/>
  <c r="D103" i="40"/>
  <c r="C102" i="40"/>
  <c r="D102" i="40"/>
  <c r="H91" i="40"/>
  <c r="C97" i="40"/>
  <c r="C99" i="40" s="1"/>
  <c r="F76" i="40"/>
  <c r="C91" i="40"/>
  <c r="E77" i="36"/>
  <c r="D104" i="40" l="1"/>
  <c r="C104" i="40"/>
  <c r="F91" i="40"/>
  <c r="D97" i="40"/>
  <c r="D99" i="40" s="1"/>
  <c r="F102" i="40" l="1"/>
  <c r="F103" i="40"/>
  <c r="F104" i="40"/>
  <c r="F101" i="40" s="1"/>
  <c r="F97" i="40"/>
  <c r="F98" i="40"/>
  <c r="F99" i="40" l="1"/>
  <c r="F96"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C13" authorId="0" shapeId="0" xr:uid="{00000000-0006-0000-0300-000001000000}">
      <text>
        <r>
          <rPr>
            <sz val="9"/>
            <color indexed="81"/>
            <rFont val="Segoe UI"/>
            <family val="2"/>
          </rPr>
          <t>Betriebseinnahmen</t>
        </r>
      </text>
    </comment>
    <comment ref="E13" authorId="0" shapeId="0" xr:uid="{00000000-0006-0000-0300-000002000000}">
      <text>
        <r>
          <rPr>
            <sz val="9"/>
            <color indexed="81"/>
            <rFont val="Segoe UI"/>
            <family val="2"/>
          </rPr>
          <t>Leistungen der Kranken- und Unfallversicherung</t>
        </r>
      </text>
    </comment>
    <comment ref="F13" authorId="0" shapeId="0" xr:uid="{00000000-0006-0000-0300-000003000000}">
      <text>
        <r>
          <rPr>
            <sz val="9"/>
            <color indexed="81"/>
            <rFont val="Segoe UI"/>
            <family val="2"/>
          </rPr>
          <t xml:space="preserve">Leistungen der Rentenversicherung
</t>
        </r>
      </text>
    </comment>
    <comment ref="A16" authorId="0" shapeId="0" xr:uid="{00000000-0006-0000-0300-000004000000}">
      <text>
        <r>
          <rPr>
            <b/>
            <sz val="9"/>
            <color indexed="81"/>
            <rFont val="Segoe UI"/>
            <family val="2"/>
          </rPr>
          <t>Vermögenswirksame Leistungen für das laufende Einkommen</t>
        </r>
      </text>
    </comment>
    <comment ref="A17" authorId="0" shapeId="0" xr:uid="{00000000-0006-0000-0300-000005000000}">
      <text>
        <r>
          <rPr>
            <b/>
            <sz val="9"/>
            <color indexed="81"/>
            <rFont val="Segoe UI"/>
            <family val="2"/>
          </rPr>
          <t>Vermögenswirksame Leistungen für die Einmalzahlung</t>
        </r>
      </text>
    </comment>
    <comment ref="A20" authorId="0" shapeId="0" xr:uid="{00000000-0006-0000-0300-000006000000}">
      <text>
        <r>
          <rPr>
            <b/>
            <sz val="9"/>
            <color indexed="81"/>
            <rFont val="Segoe UI"/>
            <family val="2"/>
          </rPr>
          <t>Vermögenswirksame Leistungen für das laufende Einkommen</t>
        </r>
      </text>
    </comment>
    <comment ref="A21" authorId="0" shapeId="0" xr:uid="{00000000-0006-0000-0300-000007000000}">
      <text>
        <r>
          <rPr>
            <b/>
            <sz val="9"/>
            <color indexed="81"/>
            <rFont val="Segoe UI"/>
            <family val="2"/>
          </rPr>
          <t>Vermögenswirksame Leistungen für die Einmalzahlung</t>
        </r>
      </text>
    </comment>
    <comment ref="A24" authorId="0" shapeId="0" xr:uid="{00000000-0006-0000-0300-000008000000}">
      <text>
        <r>
          <rPr>
            <b/>
            <sz val="9"/>
            <color indexed="81"/>
            <rFont val="Segoe UI"/>
            <family val="2"/>
          </rPr>
          <t>Vermögenswirksame Leistungen für das laufende Einkommen</t>
        </r>
      </text>
    </comment>
    <comment ref="A25" authorId="0" shapeId="0" xr:uid="{00000000-0006-0000-0300-000009000000}">
      <text>
        <r>
          <rPr>
            <b/>
            <sz val="9"/>
            <color indexed="81"/>
            <rFont val="Segoe UI"/>
            <family val="2"/>
          </rPr>
          <t>Vermögenswirksame Leistungen für die Einmalzahlung</t>
        </r>
      </text>
    </comment>
    <comment ref="A28" authorId="0" shapeId="0" xr:uid="{00000000-0006-0000-0300-00000A000000}">
      <text>
        <r>
          <rPr>
            <b/>
            <sz val="9"/>
            <color indexed="81"/>
            <rFont val="Segoe UI"/>
            <family val="2"/>
          </rPr>
          <t>Vermögenswirksame Leistungen für das laufende Einkommen</t>
        </r>
      </text>
    </comment>
    <comment ref="A29" authorId="0" shapeId="0" xr:uid="{00000000-0006-0000-0300-00000B000000}">
      <text>
        <r>
          <rPr>
            <b/>
            <sz val="9"/>
            <color indexed="81"/>
            <rFont val="Segoe UI"/>
            <family val="2"/>
          </rPr>
          <t>Vermögenswirksame Leistungen für die Einmalzahlung</t>
        </r>
      </text>
    </comment>
    <comment ref="A32" authorId="0" shapeId="0" xr:uid="{00000000-0006-0000-0300-00000C000000}">
      <text>
        <r>
          <rPr>
            <b/>
            <sz val="9"/>
            <color indexed="81"/>
            <rFont val="Segoe UI"/>
            <family val="2"/>
          </rPr>
          <t>Vermögenswirksame Leistungen für das laufende Einkommen</t>
        </r>
      </text>
    </comment>
    <comment ref="A33" authorId="0" shapeId="0" xr:uid="{00000000-0006-0000-0300-00000D000000}">
      <text>
        <r>
          <rPr>
            <b/>
            <sz val="9"/>
            <color indexed="81"/>
            <rFont val="Segoe UI"/>
            <family val="2"/>
          </rPr>
          <t>Vermögenswirksame Leistungen für die Einmalzahlung</t>
        </r>
      </text>
    </comment>
    <comment ref="A36" authorId="0" shapeId="0" xr:uid="{00000000-0006-0000-0300-00000E000000}">
      <text>
        <r>
          <rPr>
            <b/>
            <sz val="9"/>
            <color indexed="81"/>
            <rFont val="Segoe UI"/>
            <family val="2"/>
          </rPr>
          <t>Vermögenswirksame Leistungen für das laufende Einkommen</t>
        </r>
      </text>
    </comment>
    <comment ref="A37" authorId="0" shapeId="0" xr:uid="{00000000-0006-0000-0300-00000F000000}">
      <text>
        <r>
          <rPr>
            <b/>
            <sz val="9"/>
            <color indexed="81"/>
            <rFont val="Segoe UI"/>
            <family val="2"/>
          </rPr>
          <t>Vermögenswirksame Leistungen für die Einmalzahlung</t>
        </r>
      </text>
    </comment>
    <comment ref="C41" authorId="0" shapeId="0" xr:uid="{00000000-0006-0000-0300-000010000000}">
      <text>
        <r>
          <rPr>
            <sz val="9"/>
            <color indexed="81"/>
            <rFont val="Segoe UI"/>
            <family val="2"/>
          </rPr>
          <t xml:space="preserve">Betriebseinnahmen
</t>
        </r>
      </text>
    </comment>
    <comment ref="E43" authorId="0" shapeId="0" xr:uid="{00000000-0006-0000-0300-000011000000}">
      <text>
        <r>
          <rPr>
            <sz val="9"/>
            <color indexed="81"/>
            <rFont val="Segoe UI"/>
            <family val="2"/>
          </rPr>
          <t>Leistungen der Kranken- und Unfallversicherung</t>
        </r>
      </text>
    </comment>
    <comment ref="F43" authorId="0" shapeId="0" xr:uid="{00000000-0006-0000-0300-000012000000}">
      <text>
        <r>
          <rPr>
            <sz val="9"/>
            <color indexed="81"/>
            <rFont val="Segoe UI"/>
            <family val="2"/>
          </rPr>
          <t xml:space="preserve">Leistungen der Rentenversicherung
</t>
        </r>
      </text>
    </comment>
    <comment ref="A46" authorId="0" shapeId="0" xr:uid="{00000000-0006-0000-0300-000013000000}">
      <text>
        <r>
          <rPr>
            <b/>
            <sz val="9"/>
            <color indexed="81"/>
            <rFont val="Segoe UI"/>
            <family val="2"/>
          </rPr>
          <t>Vermögenswirksame Leistungen für das laufende Einkommen</t>
        </r>
      </text>
    </comment>
    <comment ref="A47" authorId="0" shapeId="0" xr:uid="{00000000-0006-0000-0300-000014000000}">
      <text>
        <r>
          <rPr>
            <b/>
            <sz val="9"/>
            <color indexed="81"/>
            <rFont val="Segoe UI"/>
            <family val="2"/>
          </rPr>
          <t>Vermögenswirksame Leistungen für die Einmalzahlung</t>
        </r>
      </text>
    </comment>
    <comment ref="A50" authorId="0" shapeId="0" xr:uid="{00000000-0006-0000-0300-000015000000}">
      <text>
        <r>
          <rPr>
            <b/>
            <sz val="9"/>
            <color indexed="81"/>
            <rFont val="Segoe UI"/>
            <family val="2"/>
          </rPr>
          <t>Vermögenswirksame Leistungen für das laufende Einkommen</t>
        </r>
      </text>
    </comment>
    <comment ref="A51" authorId="0" shapeId="0" xr:uid="{00000000-0006-0000-0300-000016000000}">
      <text>
        <r>
          <rPr>
            <b/>
            <sz val="9"/>
            <color indexed="81"/>
            <rFont val="Segoe UI"/>
            <family val="2"/>
          </rPr>
          <t>Vermögenswirksame Leistungen für die Einmalzahlung</t>
        </r>
      </text>
    </comment>
    <comment ref="A54" authorId="0" shapeId="0" xr:uid="{00000000-0006-0000-0300-000017000000}">
      <text>
        <r>
          <rPr>
            <b/>
            <sz val="9"/>
            <color indexed="81"/>
            <rFont val="Segoe UI"/>
            <family val="2"/>
          </rPr>
          <t>Vermögenswirksame Leistungen für das laufende Einkommen</t>
        </r>
      </text>
    </comment>
    <comment ref="A55" authorId="0" shapeId="0" xr:uid="{00000000-0006-0000-0300-000018000000}">
      <text>
        <r>
          <rPr>
            <b/>
            <sz val="9"/>
            <color indexed="81"/>
            <rFont val="Segoe UI"/>
            <family val="2"/>
          </rPr>
          <t>Vermögenswirksame Leistungen für die Einmalzahlung</t>
        </r>
      </text>
    </comment>
    <comment ref="A58" authorId="0" shapeId="0" xr:uid="{00000000-0006-0000-0300-000019000000}">
      <text>
        <r>
          <rPr>
            <b/>
            <sz val="9"/>
            <color indexed="81"/>
            <rFont val="Segoe UI"/>
            <family val="2"/>
          </rPr>
          <t>Vermögenswirksame Leistungen für das laufende Einkommen</t>
        </r>
      </text>
    </comment>
    <comment ref="A59" authorId="0" shapeId="0" xr:uid="{00000000-0006-0000-0300-00001A000000}">
      <text>
        <r>
          <rPr>
            <b/>
            <sz val="9"/>
            <color indexed="81"/>
            <rFont val="Segoe UI"/>
            <family val="2"/>
          </rPr>
          <t>Vermögenswirksame Leistungen für die Einmalzahlung</t>
        </r>
      </text>
    </comment>
    <comment ref="A62" authorId="0" shapeId="0" xr:uid="{00000000-0006-0000-0300-00001B000000}">
      <text>
        <r>
          <rPr>
            <b/>
            <sz val="9"/>
            <color indexed="81"/>
            <rFont val="Segoe UI"/>
            <family val="2"/>
          </rPr>
          <t>Vermögenswirksame Leistungen für das laufende Einkommen</t>
        </r>
      </text>
    </comment>
    <comment ref="A63" authorId="0" shapeId="0" xr:uid="{00000000-0006-0000-0300-00001C000000}">
      <text>
        <r>
          <rPr>
            <b/>
            <sz val="9"/>
            <color indexed="81"/>
            <rFont val="Segoe UI"/>
            <family val="2"/>
          </rPr>
          <t>Vermögenswirksame Leistungen für die Einmalzahlung</t>
        </r>
      </text>
    </comment>
    <comment ref="A66" authorId="0" shapeId="0" xr:uid="{00000000-0006-0000-0300-00001D000000}">
      <text>
        <r>
          <rPr>
            <b/>
            <sz val="9"/>
            <color indexed="81"/>
            <rFont val="Segoe UI"/>
            <family val="2"/>
          </rPr>
          <t>Vermögenswirksame Leistungen für das laufende Einkommen</t>
        </r>
      </text>
    </comment>
    <comment ref="A67" authorId="0" shapeId="0" xr:uid="{00000000-0006-0000-0300-00001E000000}">
      <text>
        <r>
          <rPr>
            <b/>
            <sz val="9"/>
            <color indexed="81"/>
            <rFont val="Segoe UI"/>
            <family val="2"/>
          </rPr>
          <t>Vermögenswirksame Leistungen für die Einmalzahlung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A16" authorId="0" shapeId="0" xr:uid="{00000000-0006-0000-0400-000001000000}">
      <text>
        <r>
          <rPr>
            <sz val="9"/>
            <color indexed="81"/>
            <rFont val="Segoe UI"/>
            <family val="2"/>
          </rPr>
          <t>gemeint sind hier monatlichen Arbeitstage; z.B. bei 5 Tagen in der Woche sind hier 19 Tage einzutragen</t>
        </r>
      </text>
    </comment>
    <comment ref="A19" authorId="0" shapeId="0" xr:uid="{00000000-0006-0000-0400-000002000000}">
      <text>
        <r>
          <rPr>
            <sz val="9"/>
            <color indexed="81"/>
            <rFont val="Segoe UI"/>
            <family val="2"/>
          </rPr>
          <t>hier bitte die Anzahl der Tage im Monat eintragen mit einer Abwesenheit vom Wohnort mit mindestens 12h</t>
        </r>
      </text>
    </comment>
    <comment ref="A20" authorId="0" shapeId="0" xr:uid="{00000000-0006-0000-0400-000003000000}">
      <text>
        <r>
          <rPr>
            <sz val="9"/>
            <color indexed="81"/>
            <rFont val="Segoe UI"/>
            <family val="2"/>
          </rPr>
          <t>Höhe des zuerkannten Pauschalbetrages in Bezug auf die Verpflegungsmehraufwendungen:
mindestens 6 Euro (ohne Nachweise) bis max. 28 Euro am Tag (mit Nachweisen)</t>
        </r>
      </text>
    </comment>
    <comment ref="A72" authorId="0" shapeId="0" xr:uid="{00000000-0006-0000-0400-000004000000}">
      <text>
        <r>
          <rPr>
            <b/>
            <sz val="9"/>
            <color indexed="81"/>
            <rFont val="Segoe UI"/>
            <family val="2"/>
          </rPr>
          <t>inklusive auf die Leistungen nach dem BAföG angerechnetem Einkommen</t>
        </r>
      </text>
    </comment>
    <comment ref="A74" authorId="0" shapeId="0" xr:uid="{00000000-0006-0000-0400-000005000000}">
      <text>
        <r>
          <rPr>
            <b/>
            <sz val="9"/>
            <color indexed="81"/>
            <rFont val="Segoe UI"/>
            <family val="2"/>
          </rPr>
          <t>gesetzlich versicherungspflichtig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A16" authorId="0" shapeId="0" xr:uid="{00000000-0006-0000-0500-000001000000}">
      <text>
        <r>
          <rPr>
            <sz val="9"/>
            <color indexed="81"/>
            <rFont val="Segoe UI"/>
            <family val="2"/>
          </rPr>
          <t>gemeint sind hier monatlichen Arbeitstage; z.B. bei 5 Tagen in der Woche sind hier 19 Tage einzutragen</t>
        </r>
      </text>
    </comment>
    <comment ref="A19" authorId="0" shapeId="0" xr:uid="{00000000-0006-0000-0500-000002000000}">
      <text>
        <r>
          <rPr>
            <sz val="9"/>
            <color indexed="81"/>
            <rFont val="Segoe UI"/>
            <family val="2"/>
          </rPr>
          <t>hier bitte die Anzahl der Tage im Monat eintragen mit einer Abwesenheit vom Wohnort mit mindestens 12h</t>
        </r>
      </text>
    </comment>
    <comment ref="A20" authorId="0" shapeId="0" xr:uid="{00000000-0006-0000-0500-000003000000}">
      <text>
        <r>
          <rPr>
            <sz val="9"/>
            <color indexed="81"/>
            <rFont val="Segoe UI"/>
            <family val="2"/>
          </rPr>
          <t>Höhe des zuerkannten Pauschalbetrages in Bezug auf die Verpflegungsmehraufwendungen:
mindestens 6 Euro (ohne Nachweise) bis max. 28 Euro am Tag (mit Nachweisen)</t>
        </r>
      </text>
    </comment>
    <comment ref="A72" authorId="0" shapeId="0" xr:uid="{00000000-0006-0000-0500-000004000000}">
      <text>
        <r>
          <rPr>
            <b/>
            <sz val="9"/>
            <color indexed="81"/>
            <rFont val="Segoe UI"/>
            <family val="2"/>
          </rPr>
          <t>inklusive auf die Leistungen nach dem BAföG angerechnetem Einkommen</t>
        </r>
      </text>
    </comment>
    <comment ref="A74" authorId="0" shapeId="0" xr:uid="{00000000-0006-0000-0500-000005000000}">
      <text>
        <r>
          <rPr>
            <b/>
            <sz val="9"/>
            <color indexed="81"/>
            <rFont val="Segoe UI"/>
            <family val="2"/>
          </rPr>
          <t>gesetzlich versicherungspflichtig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A41" authorId="0" shapeId="0" xr:uid="{00000000-0006-0000-0600-000001000000}">
      <text>
        <r>
          <rPr>
            <b/>
            <sz val="9"/>
            <color indexed="81"/>
            <rFont val="Segoe UI"/>
            <family val="2"/>
          </rPr>
          <t>inklusive auf die Leistungen nach dem BAföG angerechnetem Einkommen</t>
        </r>
      </text>
    </comment>
    <comment ref="A42" authorId="0" shapeId="0" xr:uid="{00000000-0006-0000-0600-000002000000}">
      <text>
        <r>
          <rPr>
            <b/>
            <sz val="9"/>
            <color indexed="81"/>
            <rFont val="Segoe UI"/>
            <family val="2"/>
          </rPr>
          <t>Hinweis:
Der Kinderbetreuungs- zuschlag wurde nicht in die Abzüge aufgenommen, da Kinder mit eigenem Kind eine eigene BG bilden</t>
        </r>
      </text>
    </comment>
    <comment ref="A74" authorId="0" shapeId="0" xr:uid="{00000000-0006-0000-0600-000003000000}">
      <text>
        <r>
          <rPr>
            <sz val="9"/>
            <color indexed="81"/>
            <rFont val="Segoe UI"/>
            <family val="2"/>
          </rPr>
          <t>handelt es sich bei dem Erwerbseinkommen um Ausbildungsvergütung bitte in der jeweiligen Spalte "ja" auswählen.</t>
        </r>
      </text>
    </comment>
    <comment ref="A82" authorId="0" shapeId="0" xr:uid="{00000000-0006-0000-0600-000004000000}">
      <text>
        <r>
          <rPr>
            <b/>
            <sz val="9"/>
            <color indexed="81"/>
            <rFont val="Segoe UI"/>
            <family val="2"/>
          </rPr>
          <t>gemeint sind hier die (täglichen) Fahrten zur Betriebsstätte, d.h. Fahrtkosten für den regulären Arbeitsweg</t>
        </r>
      </text>
    </comment>
    <comment ref="A87" authorId="0" shapeId="0" xr:uid="{00000000-0006-0000-0600-000005000000}">
      <text>
        <r>
          <rPr>
            <sz val="9"/>
            <color indexed="81"/>
            <rFont val="Segoe UI"/>
            <family val="2"/>
          </rPr>
          <t>gemeint sind hier monatlichen Arbeitstage; z.B. bei 5 Tagen in der Woche sind hier 19 Tage einzutragen</t>
        </r>
      </text>
    </comment>
    <comment ref="A90" authorId="0" shapeId="0" xr:uid="{00000000-0006-0000-0600-000006000000}">
      <text>
        <r>
          <rPr>
            <sz val="9"/>
            <color indexed="81"/>
            <rFont val="Segoe UI"/>
            <family val="2"/>
          </rPr>
          <t xml:space="preserve"> bitte die Anzahl der Tage im Monat eintragen mit einer Abwesenheit vom Wohnort mit mindestens 12h</t>
        </r>
      </text>
    </comment>
    <comment ref="A91" authorId="0" shapeId="0" xr:uid="{00000000-0006-0000-0600-000007000000}">
      <text>
        <r>
          <rPr>
            <sz val="9"/>
            <color indexed="81"/>
            <rFont val="Segoe UI"/>
            <family val="2"/>
          </rPr>
          <t>Höhe des zuerkannten Pauschalbetrages in Bezug auf die Verpflegungsmehraufwendungen:
mindestens 6 Euro (ohne Nachweise) bis max. 28 Euro am Tag (mit Nachweisen)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A41" authorId="0" shapeId="0" xr:uid="{00000000-0006-0000-0700-000001000000}">
      <text>
        <r>
          <rPr>
            <b/>
            <sz val="9"/>
            <color indexed="81"/>
            <rFont val="Segoe UI"/>
            <family val="2"/>
          </rPr>
          <t>inklusive auf die Leistungen nach dem BAföG angerechnetem Einkommen</t>
        </r>
      </text>
    </comment>
    <comment ref="A42" authorId="0" shapeId="0" xr:uid="{00000000-0006-0000-0700-000002000000}">
      <text>
        <r>
          <rPr>
            <b/>
            <sz val="9"/>
            <color indexed="81"/>
            <rFont val="Segoe UI"/>
            <family val="2"/>
          </rPr>
          <t>Hinweis:
Der Kinderbetreuungs- zuschlag wurde nicht in die Abzüge aufgenommen, da Kinder mit eigenem Kind eine eigene BG bilden</t>
        </r>
      </text>
    </comment>
    <comment ref="A74" authorId="0" shapeId="0" xr:uid="{00000000-0006-0000-0700-000003000000}">
      <text>
        <r>
          <rPr>
            <sz val="9"/>
            <color indexed="81"/>
            <rFont val="Segoe UI"/>
            <family val="2"/>
          </rPr>
          <t>handelt es sich bei dem Erwerbseinkommen um Ausbildungsvergütung bitte in der jeweiligen Spalte "ja" auswählen.</t>
        </r>
      </text>
    </comment>
    <comment ref="A82" authorId="0" shapeId="0" xr:uid="{00000000-0006-0000-0700-000004000000}">
      <text>
        <r>
          <rPr>
            <b/>
            <sz val="9"/>
            <color indexed="81"/>
            <rFont val="Segoe UI"/>
            <family val="2"/>
          </rPr>
          <t>gemeint sind hier die (täglichen) Fahrten zur Betriebsstätte, d.h. Fahrtkosten für den regulären Arbeitsweg</t>
        </r>
      </text>
    </comment>
    <comment ref="A87" authorId="0" shapeId="0" xr:uid="{00000000-0006-0000-0700-000005000000}">
      <text>
        <r>
          <rPr>
            <sz val="9"/>
            <color indexed="81"/>
            <rFont val="Segoe UI"/>
            <family val="2"/>
          </rPr>
          <t>gemeint sind hier monatlichen Arbeitstage; z.B. bei 5 Tagen in der Woche sind hier 19 Tage einzutragen</t>
        </r>
      </text>
    </comment>
    <comment ref="A90" authorId="0" shapeId="0" xr:uid="{00000000-0006-0000-0700-000006000000}">
      <text>
        <r>
          <rPr>
            <sz val="9"/>
            <color indexed="81"/>
            <rFont val="Segoe UI"/>
            <family val="2"/>
          </rPr>
          <t xml:space="preserve"> bitte die Anzahl der Tage im Monat eintragen mit einer Abwesenheit vom Wohnort mit mindestens 12h</t>
        </r>
      </text>
    </comment>
    <comment ref="A91" authorId="0" shapeId="0" xr:uid="{00000000-0006-0000-0700-000007000000}">
      <text>
        <r>
          <rPr>
            <sz val="9"/>
            <color indexed="81"/>
            <rFont val="Segoe UI"/>
            <family val="2"/>
          </rPr>
          <t>Höhe des zuerkannten Pauschalbetrages in Bezug auf die Verpflegungsmehraufwendungen:
mindestens 6 Euro (ohne Nachweise) bis max. 28 Euro am Tag (mit Nachweisen)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A41" authorId="0" shapeId="0" xr:uid="{00000000-0006-0000-0800-000001000000}">
      <text>
        <r>
          <rPr>
            <b/>
            <sz val="9"/>
            <color indexed="81"/>
            <rFont val="Segoe UI"/>
            <family val="2"/>
          </rPr>
          <t>inklusive auf die Leistungen nach dem BAföG angerechnetem Einkommen</t>
        </r>
      </text>
    </comment>
    <comment ref="A42" authorId="0" shapeId="0" xr:uid="{00000000-0006-0000-0800-000002000000}">
      <text>
        <r>
          <rPr>
            <b/>
            <sz val="9"/>
            <color indexed="81"/>
            <rFont val="Segoe UI"/>
            <family val="2"/>
          </rPr>
          <t>Hinweis:
Der Kinderbetreuungs- zuschlag wurde nicht in die Abzüge aufgenommen, da Kinder mit eigenem Kind eine eigene BG bilden</t>
        </r>
      </text>
    </comment>
    <comment ref="A74" authorId="0" shapeId="0" xr:uid="{00000000-0006-0000-0800-000003000000}">
      <text>
        <r>
          <rPr>
            <b/>
            <sz val="9"/>
            <color indexed="81"/>
            <rFont val="Segoe UI"/>
            <family val="2"/>
          </rPr>
          <t>KaufmannK010:</t>
        </r>
        <r>
          <rPr>
            <sz val="9"/>
            <color indexed="81"/>
            <rFont val="Segoe UI"/>
            <family val="2"/>
          </rPr>
          <t xml:space="preserve">
handelt es sich bei dem Erwerbseinkommen um Ausbildungsvergütung bitte in der jeweiligen Spalte "ja" auswählen.</t>
        </r>
      </text>
    </comment>
    <comment ref="A82" authorId="0" shapeId="0" xr:uid="{00000000-0006-0000-0800-000004000000}">
      <text>
        <r>
          <rPr>
            <b/>
            <sz val="9"/>
            <color indexed="81"/>
            <rFont val="Segoe UI"/>
            <family val="2"/>
          </rPr>
          <t>gemeint sind hier die (täglichen) Fahrten zur Betriebsstätte, d.h. Fahrtkoste für den regulären Arbeitsweg</t>
        </r>
      </text>
    </comment>
    <comment ref="A87" authorId="0" shapeId="0" xr:uid="{00000000-0006-0000-0800-000005000000}">
      <text>
        <r>
          <rPr>
            <sz val="9"/>
            <color indexed="81"/>
            <rFont val="Segoe UI"/>
            <family val="2"/>
          </rPr>
          <t>gemeint sind hier monatlichen Arbeitstage; z.B. bei 5 Tagen in der Woche sind hier 19 Tage einzutragen</t>
        </r>
      </text>
    </comment>
    <comment ref="A90" authorId="0" shapeId="0" xr:uid="{00000000-0006-0000-0800-000006000000}">
      <text>
        <r>
          <rPr>
            <sz val="9"/>
            <color indexed="81"/>
            <rFont val="Segoe UI"/>
            <family val="2"/>
          </rPr>
          <t xml:space="preserve"> bitte die Anzahl der Tage im Monat eintragen mit einer Abwesenheit vom Wohnort mit mindestens 12h</t>
        </r>
      </text>
    </comment>
    <comment ref="A91" authorId="0" shapeId="0" xr:uid="{00000000-0006-0000-0800-000007000000}">
      <text>
        <r>
          <rPr>
            <sz val="9"/>
            <color indexed="81"/>
            <rFont val="Segoe UI"/>
            <family val="2"/>
          </rPr>
          <t>Höhe des zuerkannten Pauschalbetrages in Bezug auf die Verpflegungsmehraufwendungen:
mindestens 6 Euro (ohne Nachweise) bis max. 28 Euro am Tag (mit Nachweisen)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A41" authorId="0" shapeId="0" xr:uid="{00000000-0006-0000-0900-000001000000}">
      <text>
        <r>
          <rPr>
            <b/>
            <sz val="9"/>
            <color indexed="81"/>
            <rFont val="Segoe UI"/>
            <family val="2"/>
          </rPr>
          <t>inklusive auf die Leistungen nach dem BAföG angerechnetem Einkommen</t>
        </r>
      </text>
    </comment>
    <comment ref="A42" authorId="0" shapeId="0" xr:uid="{00000000-0006-0000-0900-000002000000}">
      <text>
        <r>
          <rPr>
            <b/>
            <sz val="9"/>
            <color indexed="81"/>
            <rFont val="Segoe UI"/>
            <family val="2"/>
          </rPr>
          <t>Hinweis:
Der Kinderbetreuungs- zuschlag wurde nicht in die Abzüge aufgenommen, da Kinder mit eigenem Kind eine eigene BG bilden</t>
        </r>
      </text>
    </comment>
    <comment ref="A74" authorId="0" shapeId="0" xr:uid="{00000000-0006-0000-0900-000003000000}">
      <text>
        <r>
          <rPr>
            <b/>
            <sz val="9"/>
            <color indexed="81"/>
            <rFont val="Segoe UI"/>
            <family val="2"/>
          </rPr>
          <t>KaufmannK010:</t>
        </r>
        <r>
          <rPr>
            <sz val="9"/>
            <color indexed="81"/>
            <rFont val="Segoe UI"/>
            <family val="2"/>
          </rPr>
          <t xml:space="preserve">
handelt es sich bei dem Erwerbseinkommen um Ausbildungsvergütung bitte in der jeweiligen Spalte "ja" auswählen.</t>
        </r>
      </text>
    </comment>
    <comment ref="A82" authorId="0" shapeId="0" xr:uid="{00000000-0006-0000-0900-000004000000}">
      <text>
        <r>
          <rPr>
            <b/>
            <sz val="9"/>
            <color indexed="81"/>
            <rFont val="Segoe UI"/>
            <family val="2"/>
          </rPr>
          <t>gemeint sind hier die (täglichen) Fahrten zur Betriebsstätte, d.h. Fahrtkoste für den regulären Arbeitsweg</t>
        </r>
      </text>
    </comment>
    <comment ref="A87" authorId="0" shapeId="0" xr:uid="{00000000-0006-0000-0900-000005000000}">
      <text>
        <r>
          <rPr>
            <sz val="9"/>
            <color indexed="81"/>
            <rFont val="Segoe UI"/>
            <family val="2"/>
          </rPr>
          <t>gemeint sind hier monatlichen Arbeitstage; z.B. bei 5 Tagen in der Woche sind hier 19 Tage einzutragen</t>
        </r>
      </text>
    </comment>
    <comment ref="A90" authorId="0" shapeId="0" xr:uid="{00000000-0006-0000-0900-000006000000}">
      <text>
        <r>
          <rPr>
            <sz val="9"/>
            <color indexed="81"/>
            <rFont val="Segoe UI"/>
            <family val="2"/>
          </rPr>
          <t xml:space="preserve"> bitte die Anzahl der Tage im Monat eintragen mit einer Abwesenheit vom Wohnort mit mindestens 12h</t>
        </r>
      </text>
    </comment>
    <comment ref="A91" authorId="0" shapeId="0" xr:uid="{00000000-0006-0000-0900-000007000000}">
      <text>
        <r>
          <rPr>
            <sz val="9"/>
            <color indexed="81"/>
            <rFont val="Segoe UI"/>
            <family val="2"/>
          </rPr>
          <t>Höhe des zuerkannten Pauschalbetrages in Bezug auf die Verpflegungsmehraufwendungen:
mindestens 6 Euro (ohne Nachweise) bis max. 28 Euro am Tag (mit Nachweisen)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A41" authorId="0" shapeId="0" xr:uid="{00000000-0006-0000-0A00-000001000000}">
      <text>
        <r>
          <rPr>
            <b/>
            <sz val="9"/>
            <color indexed="81"/>
            <rFont val="Segoe UI"/>
            <family val="2"/>
          </rPr>
          <t>inklusive auf die Leistungen nach dem BAföG angerechnetem Einkommen</t>
        </r>
      </text>
    </comment>
    <comment ref="A42" authorId="0" shapeId="0" xr:uid="{00000000-0006-0000-0A00-000002000000}">
      <text>
        <r>
          <rPr>
            <b/>
            <sz val="9"/>
            <color indexed="81"/>
            <rFont val="Segoe UI"/>
            <family val="2"/>
          </rPr>
          <t>Hinweis:
Der Kinderbetreuungs- zuschlag wurde nicht in die Abzüge aufgenommen, da Kinder mit eigenem Kind eine eigene BG bilden</t>
        </r>
      </text>
    </comment>
    <comment ref="A74" authorId="0" shapeId="0" xr:uid="{00000000-0006-0000-0A00-000003000000}">
      <text>
        <r>
          <rPr>
            <b/>
            <sz val="9"/>
            <color indexed="81"/>
            <rFont val="Segoe UI"/>
            <family val="2"/>
          </rPr>
          <t>KaufmannK010:</t>
        </r>
        <r>
          <rPr>
            <sz val="9"/>
            <color indexed="81"/>
            <rFont val="Segoe UI"/>
            <family val="2"/>
          </rPr>
          <t xml:space="preserve">
handelt es sich bei dem Erwerbseinkommen um Ausbildungsvergütung bitte in der jeweiligen Spalte "ja" auswählen.</t>
        </r>
      </text>
    </comment>
    <comment ref="A82" authorId="0" shapeId="0" xr:uid="{00000000-0006-0000-0A00-000004000000}">
      <text>
        <r>
          <rPr>
            <b/>
            <sz val="9"/>
            <color indexed="81"/>
            <rFont val="Segoe UI"/>
            <family val="2"/>
          </rPr>
          <t>gemeint sind hier die (täglichen) Fahrten zur Betriebsstätte, d.h. Fahrtkoste für den regulären Arbeitsweg</t>
        </r>
      </text>
    </comment>
    <comment ref="A87" authorId="0" shapeId="0" xr:uid="{00000000-0006-0000-0A00-000005000000}">
      <text>
        <r>
          <rPr>
            <sz val="9"/>
            <color indexed="81"/>
            <rFont val="Segoe UI"/>
            <family val="2"/>
          </rPr>
          <t>gemeint sind hier monatlichen Arbeitstage; z.B. bei 5 Tagen in der Woche sind hier 19 Tage einzutragen</t>
        </r>
      </text>
    </comment>
    <comment ref="A90" authorId="0" shapeId="0" xr:uid="{00000000-0006-0000-0A00-000006000000}">
      <text>
        <r>
          <rPr>
            <sz val="9"/>
            <color indexed="81"/>
            <rFont val="Segoe UI"/>
            <family val="2"/>
          </rPr>
          <t xml:space="preserve"> bitte die Anzahl der Tage im Monat eintragen mit einer Abwesenheit vom Wohnort mit mindestens 12h</t>
        </r>
      </text>
    </comment>
    <comment ref="A91" authorId="0" shapeId="0" xr:uid="{00000000-0006-0000-0A00-000007000000}">
      <text>
        <r>
          <rPr>
            <sz val="9"/>
            <color indexed="81"/>
            <rFont val="Segoe UI"/>
            <family val="2"/>
          </rPr>
          <t>Höhe des zuerkannten Pauschalbetrages in Bezug auf die Verpflegungsmehraufwendungen:
mindestens 6 Euro (ohne Nachweise) bis max. 28 Euro am Tag (mit Nachweisen)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A41" authorId="0" shapeId="0" xr:uid="{00000000-0006-0000-0B00-000001000000}">
      <text>
        <r>
          <rPr>
            <b/>
            <sz val="9"/>
            <color indexed="81"/>
            <rFont val="Segoe UI"/>
            <family val="2"/>
          </rPr>
          <t>inklusive auf die Leistungen nach dem BAföG angerechnetem Einkommen</t>
        </r>
      </text>
    </comment>
    <comment ref="A42" authorId="0" shapeId="0" xr:uid="{00000000-0006-0000-0B00-000002000000}">
      <text>
        <r>
          <rPr>
            <b/>
            <sz val="9"/>
            <color indexed="81"/>
            <rFont val="Segoe UI"/>
            <family val="2"/>
          </rPr>
          <t>Hinweis:
Der Kinderbetreuungs- zuschlag wurde nicht in die Abzüge aufgenommen, da Kinder mit eigenem Kind eine eigene BG bilden</t>
        </r>
      </text>
    </comment>
    <comment ref="A74" authorId="0" shapeId="0" xr:uid="{00000000-0006-0000-0B00-000003000000}">
      <text>
        <r>
          <rPr>
            <b/>
            <sz val="9"/>
            <color indexed="81"/>
            <rFont val="Segoe UI"/>
            <family val="2"/>
          </rPr>
          <t>KaufmannK010:</t>
        </r>
        <r>
          <rPr>
            <sz val="9"/>
            <color indexed="81"/>
            <rFont val="Segoe UI"/>
            <family val="2"/>
          </rPr>
          <t xml:space="preserve">
handelt es sich bei dem Erwerbseinkommen um Ausbildungsvergütung bitte in der jeweiligen Spalte "ja" auswählen.</t>
        </r>
      </text>
    </comment>
    <comment ref="A82" authorId="0" shapeId="0" xr:uid="{00000000-0006-0000-0B00-000004000000}">
      <text>
        <r>
          <rPr>
            <b/>
            <sz val="9"/>
            <color indexed="81"/>
            <rFont val="Segoe UI"/>
            <family val="2"/>
          </rPr>
          <t>gemeint sind hier die (täglichen) Fahrten zur Betriebsstätte, d.h. Fahrtkoste für den regulären Arbeitsweg</t>
        </r>
      </text>
    </comment>
    <comment ref="A87" authorId="0" shapeId="0" xr:uid="{00000000-0006-0000-0B00-000005000000}">
      <text>
        <r>
          <rPr>
            <sz val="9"/>
            <color indexed="81"/>
            <rFont val="Segoe UI"/>
            <family val="2"/>
          </rPr>
          <t>gemeint sind hier monatlichen Arbeitstage; z.B. bei 5 Tagen in der Woche sind hier 19 Tage einzutragen</t>
        </r>
      </text>
    </comment>
    <comment ref="A90" authorId="0" shapeId="0" xr:uid="{00000000-0006-0000-0B00-000006000000}">
      <text>
        <r>
          <rPr>
            <sz val="9"/>
            <color indexed="81"/>
            <rFont val="Segoe UI"/>
            <family val="2"/>
          </rPr>
          <t xml:space="preserve"> bitte die Anzahl der Tage im Monat eintragen mit einer Abwesenheit vom Wohnort mit mindestens 12h</t>
        </r>
      </text>
    </comment>
    <comment ref="A91" authorId="0" shapeId="0" xr:uid="{00000000-0006-0000-0B00-000007000000}">
      <text>
        <r>
          <rPr>
            <sz val="9"/>
            <color indexed="81"/>
            <rFont val="Segoe UI"/>
            <family val="2"/>
          </rPr>
          <t>Höhe des zuerkannten Pauschalbetrages in Bezug auf die Verpflegungsmehraufwendungen:
mindestens 6 Euro (ohne Nachweise) bis max. 28 Euro am Tag (mit Nachweisen)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A41" authorId="0" shapeId="0" xr:uid="{00000000-0006-0000-0C00-000001000000}">
      <text>
        <r>
          <rPr>
            <b/>
            <sz val="9"/>
            <color indexed="81"/>
            <rFont val="Segoe UI"/>
            <family val="2"/>
          </rPr>
          <t>inklusive auf die Leistungen nach dem BAföG angerechnetem Einkommen</t>
        </r>
      </text>
    </comment>
    <comment ref="A42" authorId="0" shapeId="0" xr:uid="{00000000-0006-0000-0C00-000002000000}">
      <text>
        <r>
          <rPr>
            <b/>
            <sz val="9"/>
            <color indexed="81"/>
            <rFont val="Segoe UI"/>
            <family val="2"/>
          </rPr>
          <t>Hinweis:
Der Kinderbetreuungs- zuschlag wurde nicht in die Abzüge aufgenommen, da Kinder mit eigenem Kind eine eigene BG bilden</t>
        </r>
      </text>
    </comment>
    <comment ref="A74" authorId="0" shapeId="0" xr:uid="{00000000-0006-0000-0C00-000003000000}">
      <text>
        <r>
          <rPr>
            <b/>
            <sz val="9"/>
            <color indexed="81"/>
            <rFont val="Segoe UI"/>
            <family val="2"/>
          </rPr>
          <t>KaufmannK010:</t>
        </r>
        <r>
          <rPr>
            <sz val="9"/>
            <color indexed="81"/>
            <rFont val="Segoe UI"/>
            <family val="2"/>
          </rPr>
          <t xml:space="preserve">
handelt es sich bei dem Erwerbseinkommen um Ausbildungsvergütung bitte in der jeweiligen Spalte "ja" auswählen.</t>
        </r>
      </text>
    </comment>
    <comment ref="A82" authorId="0" shapeId="0" xr:uid="{00000000-0006-0000-0C00-000004000000}">
      <text>
        <r>
          <rPr>
            <b/>
            <sz val="9"/>
            <color indexed="81"/>
            <rFont val="Segoe UI"/>
            <family val="2"/>
          </rPr>
          <t>gemeint sind hier die (täglichen) Fahrten zur Betriebsstätte, d.h. Fahrtkoste für den regulären Arbeitsweg</t>
        </r>
      </text>
    </comment>
    <comment ref="A87" authorId="0" shapeId="0" xr:uid="{00000000-0006-0000-0C00-000005000000}">
      <text>
        <r>
          <rPr>
            <sz val="9"/>
            <color indexed="81"/>
            <rFont val="Segoe UI"/>
            <family val="2"/>
          </rPr>
          <t>gemeint sind hier monatlichen Arbeitstage; z.B. bei 5 Tagen in der Woche sind hier 19 Tage einzutragen</t>
        </r>
      </text>
    </comment>
    <comment ref="A90" authorId="0" shapeId="0" xr:uid="{00000000-0006-0000-0C00-000006000000}">
      <text>
        <r>
          <rPr>
            <sz val="9"/>
            <color indexed="81"/>
            <rFont val="Segoe UI"/>
            <family val="2"/>
          </rPr>
          <t xml:space="preserve"> bitte die Anzahl der Tage im Monat eintragen mit einer Abwesenheit vom Wohnort mit mindestens 12h</t>
        </r>
      </text>
    </comment>
    <comment ref="A91" authorId="0" shapeId="0" xr:uid="{00000000-0006-0000-0C00-000007000000}">
      <text>
        <r>
          <rPr>
            <sz val="9"/>
            <color indexed="81"/>
            <rFont val="Segoe UI"/>
            <family val="2"/>
          </rPr>
          <t>Höhe des zuerkannten Pauschalbetrages in Bezug auf die Verpflegungsmehraufwendungen:
mindestens 6 Euro (ohne Nachweise) bis max. 28 Euro am Tag (mit Nachweisen)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A41" authorId="0" shapeId="0" xr:uid="{00000000-0006-0000-0D00-000001000000}">
      <text>
        <r>
          <rPr>
            <b/>
            <sz val="9"/>
            <color indexed="81"/>
            <rFont val="Segoe UI"/>
            <family val="2"/>
          </rPr>
          <t>inklusive auf die Leistungen nach dem BAföG angerechnetem Einkommen</t>
        </r>
      </text>
    </comment>
    <comment ref="A42" authorId="0" shapeId="0" xr:uid="{00000000-0006-0000-0D00-000002000000}">
      <text>
        <r>
          <rPr>
            <b/>
            <sz val="9"/>
            <color indexed="81"/>
            <rFont val="Segoe UI"/>
            <family val="2"/>
          </rPr>
          <t>Hinweis:
Der Kinderbetreuungs- zuschlag wurde nicht in die Abzüge aufgenommen, da Kinder mit eigenem Kind eine eigene BG bilden</t>
        </r>
      </text>
    </comment>
    <comment ref="A74" authorId="0" shapeId="0" xr:uid="{00000000-0006-0000-0D00-000003000000}">
      <text>
        <r>
          <rPr>
            <b/>
            <sz val="9"/>
            <color indexed="81"/>
            <rFont val="Segoe UI"/>
            <family val="2"/>
          </rPr>
          <t>KaufmannK010:</t>
        </r>
        <r>
          <rPr>
            <sz val="9"/>
            <color indexed="81"/>
            <rFont val="Segoe UI"/>
            <family val="2"/>
          </rPr>
          <t xml:space="preserve">
handelt es sich bei dem Erwerbseinkommen um Ausbildungsvergütung bitte in der jeweiligen Spalte "ja" auswählen.</t>
        </r>
      </text>
    </comment>
    <comment ref="A82" authorId="0" shapeId="0" xr:uid="{00000000-0006-0000-0D00-000004000000}">
      <text>
        <r>
          <rPr>
            <b/>
            <sz val="9"/>
            <color indexed="81"/>
            <rFont val="Segoe UI"/>
            <family val="2"/>
          </rPr>
          <t>gemeint sind hier die (täglichen) Fahrten zur Betriebsstätte, d.h. Fahrtkoste für den regulären Arbeitsweg</t>
        </r>
      </text>
    </comment>
    <comment ref="A87" authorId="0" shapeId="0" xr:uid="{00000000-0006-0000-0D00-000005000000}">
      <text>
        <r>
          <rPr>
            <sz val="9"/>
            <color indexed="81"/>
            <rFont val="Segoe UI"/>
            <family val="2"/>
          </rPr>
          <t>gemeint sind hier monatlichen Arbeitstage; z.B. bei 5 Tagen in der Woche sind hier 19 Tage einzutragen</t>
        </r>
      </text>
    </comment>
    <comment ref="A90" authorId="0" shapeId="0" xr:uid="{00000000-0006-0000-0D00-000006000000}">
      <text>
        <r>
          <rPr>
            <sz val="9"/>
            <color indexed="81"/>
            <rFont val="Segoe UI"/>
            <family val="2"/>
          </rPr>
          <t xml:space="preserve"> bitte die Anzahl der Tage im Monat eintragen mit einer Abwesenheit vom Wohnort mit mindestens 12h</t>
        </r>
      </text>
    </comment>
    <comment ref="A91" authorId="0" shapeId="0" xr:uid="{00000000-0006-0000-0D00-000007000000}">
      <text>
        <r>
          <rPr>
            <sz val="9"/>
            <color indexed="81"/>
            <rFont val="Segoe UI"/>
            <family val="2"/>
          </rPr>
          <t>Höhe des zuerkannten Pauschalbetrages in Bezug auf die Verpflegungsmehraufwendungen:
mindestens 6 Euro (ohne Nachweise) bis max. 28 Euro am Tag (mit Nachweisen)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A41" authorId="0" shapeId="0" xr:uid="{00000000-0006-0000-0E00-000001000000}">
      <text>
        <r>
          <rPr>
            <b/>
            <sz val="9"/>
            <color indexed="81"/>
            <rFont val="Segoe UI"/>
            <family val="2"/>
          </rPr>
          <t>inklusive auf die Leistungen nach dem BAföG angerechnetem Einkommen</t>
        </r>
      </text>
    </comment>
    <comment ref="A42" authorId="0" shapeId="0" xr:uid="{00000000-0006-0000-0E00-000002000000}">
      <text>
        <r>
          <rPr>
            <b/>
            <sz val="9"/>
            <color indexed="81"/>
            <rFont val="Segoe UI"/>
            <family val="2"/>
          </rPr>
          <t>Hinweis:
Der Kinderbetreuungs- zuschlag wurde nicht in die Abzüge aufgenommen, da Kinder mit eigenem Kind eine eigene BG bilden</t>
        </r>
      </text>
    </comment>
    <comment ref="A74" authorId="0" shapeId="0" xr:uid="{00000000-0006-0000-0E00-000003000000}">
      <text>
        <r>
          <rPr>
            <b/>
            <sz val="9"/>
            <color indexed="81"/>
            <rFont val="Segoe UI"/>
            <family val="2"/>
          </rPr>
          <t>KaufmannK010:</t>
        </r>
        <r>
          <rPr>
            <sz val="9"/>
            <color indexed="81"/>
            <rFont val="Segoe UI"/>
            <family val="2"/>
          </rPr>
          <t xml:space="preserve">
handelt es sich bei dem Erwerbseinkommen um Ausbildungsvergütung bitte in der jeweiligen Spalte "ja" auswählen.</t>
        </r>
      </text>
    </comment>
    <comment ref="A82" authorId="0" shapeId="0" xr:uid="{00000000-0006-0000-0E00-000004000000}">
      <text>
        <r>
          <rPr>
            <b/>
            <sz val="9"/>
            <color indexed="81"/>
            <rFont val="Segoe UI"/>
            <family val="2"/>
          </rPr>
          <t>gemeint sind hier die (täglichen) Fahrten zur Betriebsstätte, d.h. Fahrtkoste für den regulären Arbeitsweg</t>
        </r>
      </text>
    </comment>
    <comment ref="A87" authorId="0" shapeId="0" xr:uid="{00000000-0006-0000-0E00-000005000000}">
      <text>
        <r>
          <rPr>
            <sz val="9"/>
            <color indexed="81"/>
            <rFont val="Segoe UI"/>
            <family val="2"/>
          </rPr>
          <t>gemeint sind hier monatlichen Arbeitstage; z.B. bei 5 Tagen in der Woche sind hier 19 Tage einzutragen</t>
        </r>
      </text>
    </comment>
    <comment ref="A90" authorId="0" shapeId="0" xr:uid="{00000000-0006-0000-0E00-000006000000}">
      <text>
        <r>
          <rPr>
            <sz val="9"/>
            <color indexed="81"/>
            <rFont val="Segoe UI"/>
            <family val="2"/>
          </rPr>
          <t xml:space="preserve"> bitte die Anzahl der Tage im Monat eintragen mit einer Abwesenheit vom Wohnort mit mindestens 12h</t>
        </r>
      </text>
    </comment>
    <comment ref="A91" authorId="0" shapeId="0" xr:uid="{00000000-0006-0000-0E00-000007000000}">
      <text>
        <r>
          <rPr>
            <sz val="9"/>
            <color indexed="81"/>
            <rFont val="Segoe UI"/>
            <family val="2"/>
          </rPr>
          <t>Höhe des zuerkannten Pauschalbetrages in Bezug auf die Verpflegungsmehraufwendungen:
mindestens 6 Euro (ohne Nachweise) bis max. 28 Euro am Tag (mit Nachweisen)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A41" authorId="0" shapeId="0" xr:uid="{00000000-0006-0000-0F00-000001000000}">
      <text>
        <r>
          <rPr>
            <b/>
            <sz val="9"/>
            <color indexed="81"/>
            <rFont val="Segoe UI"/>
            <family val="2"/>
          </rPr>
          <t>inklusive auf die Leistungen nach dem BAföG angerechnetem Einkommen</t>
        </r>
      </text>
    </comment>
    <comment ref="A42" authorId="0" shapeId="0" xr:uid="{00000000-0006-0000-0F00-000002000000}">
      <text>
        <r>
          <rPr>
            <b/>
            <sz val="9"/>
            <color indexed="81"/>
            <rFont val="Segoe UI"/>
            <family val="2"/>
          </rPr>
          <t>Hinweis:
Der Kinderbetreuungs- zuschlag wurde nicht in die Abzüge aufgenommen, da Kinder mit eigenem Kind eine eigene BG bilden</t>
        </r>
      </text>
    </comment>
    <comment ref="A74" authorId="0" shapeId="0" xr:uid="{00000000-0006-0000-0F00-000003000000}">
      <text>
        <r>
          <rPr>
            <b/>
            <sz val="9"/>
            <color indexed="81"/>
            <rFont val="Segoe UI"/>
            <family val="2"/>
          </rPr>
          <t>KaufmannK010:</t>
        </r>
        <r>
          <rPr>
            <sz val="9"/>
            <color indexed="81"/>
            <rFont val="Segoe UI"/>
            <family val="2"/>
          </rPr>
          <t xml:space="preserve">
handelt es sich bei dem Erwerbseinkommen um Ausbildungsvergütung bitte in der jeweiligen Spalte "ja" auswählen.</t>
        </r>
      </text>
    </comment>
    <comment ref="A82" authorId="0" shapeId="0" xr:uid="{00000000-0006-0000-0F00-000004000000}">
      <text>
        <r>
          <rPr>
            <b/>
            <sz val="9"/>
            <color indexed="81"/>
            <rFont val="Segoe UI"/>
            <family val="2"/>
          </rPr>
          <t>gemeint sind hier die (täglichen) Fahrten zur Betriebsstätte, d.h. Fahrtkoste für den regulären Arbeitsweg</t>
        </r>
      </text>
    </comment>
    <comment ref="A87" authorId="0" shapeId="0" xr:uid="{00000000-0006-0000-0F00-000005000000}">
      <text>
        <r>
          <rPr>
            <sz val="9"/>
            <color indexed="81"/>
            <rFont val="Segoe UI"/>
            <family val="2"/>
          </rPr>
          <t>gemeint sind hier monatlichen Arbeitstage; z.B. bei 5 Tagen in der Woche sind hier 19 Tage einzutragen</t>
        </r>
      </text>
    </comment>
    <comment ref="A90" authorId="0" shapeId="0" xr:uid="{00000000-0006-0000-0F00-000006000000}">
      <text>
        <r>
          <rPr>
            <sz val="9"/>
            <color indexed="81"/>
            <rFont val="Segoe UI"/>
            <family val="2"/>
          </rPr>
          <t xml:space="preserve"> bitte die Anzahl der Tage im Monat eintragen mit einer Abwesenheit vom Wohnort mit mindestens 12h</t>
        </r>
      </text>
    </comment>
    <comment ref="A91" authorId="0" shapeId="0" xr:uid="{00000000-0006-0000-0F00-000007000000}">
      <text>
        <r>
          <rPr>
            <sz val="9"/>
            <color indexed="81"/>
            <rFont val="Segoe UI"/>
            <family val="2"/>
          </rPr>
          <t>Höhe des zuerkannten Pauschalbetrages in Bezug auf die Verpflegungsmehraufwendungen:
mindestens 6 Euro (ohne Nachweise) bis max. 28 Euro am Tag (mit Nachweisen)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A41" authorId="0" shapeId="0" xr:uid="{00000000-0006-0000-1000-000001000000}">
      <text>
        <r>
          <rPr>
            <b/>
            <sz val="9"/>
            <color indexed="81"/>
            <rFont val="Segoe UI"/>
            <family val="2"/>
          </rPr>
          <t>inklusive auf die Leistungen nach dem BAföG angerechnetem Einkommen</t>
        </r>
      </text>
    </comment>
    <comment ref="A42" authorId="0" shapeId="0" xr:uid="{00000000-0006-0000-1000-000002000000}">
      <text>
        <r>
          <rPr>
            <b/>
            <sz val="9"/>
            <color indexed="81"/>
            <rFont val="Segoe UI"/>
            <family val="2"/>
          </rPr>
          <t>Hinweis:
Der Kinderbetreuungs- zuschlag wurde nicht in die Abzüge aufgenommen, da Kinder mit eigenem Kind eine eigene BG bilden</t>
        </r>
      </text>
    </comment>
    <comment ref="A74" authorId="0" shapeId="0" xr:uid="{00000000-0006-0000-1000-000003000000}">
      <text>
        <r>
          <rPr>
            <b/>
            <sz val="9"/>
            <color indexed="81"/>
            <rFont val="Segoe UI"/>
            <family val="2"/>
          </rPr>
          <t>KaufmannK010:</t>
        </r>
        <r>
          <rPr>
            <sz val="9"/>
            <color indexed="81"/>
            <rFont val="Segoe UI"/>
            <family val="2"/>
          </rPr>
          <t xml:space="preserve">
handelt es sich bei dem Erwerbseinkommen um Ausbildungsvergütung bitte in der jeweiligen Spalte "ja" auswählen.</t>
        </r>
      </text>
    </comment>
    <comment ref="A82" authorId="0" shapeId="0" xr:uid="{00000000-0006-0000-1000-000004000000}">
      <text>
        <r>
          <rPr>
            <b/>
            <sz val="9"/>
            <color indexed="81"/>
            <rFont val="Segoe UI"/>
            <family val="2"/>
          </rPr>
          <t>gemeint sind hier die (täglichen) Fahrten zur Betriebsstätte, d.h. Fahrtkoste für den regulären Arbeitsweg</t>
        </r>
      </text>
    </comment>
    <comment ref="A87" authorId="0" shapeId="0" xr:uid="{00000000-0006-0000-1000-000005000000}">
      <text>
        <r>
          <rPr>
            <sz val="9"/>
            <color indexed="81"/>
            <rFont val="Segoe UI"/>
            <family val="2"/>
          </rPr>
          <t>gemeint sind hier monatlichen Arbeitstage; z.B. bei 5 Tagen in der Woche sind hier 19 Tage einzutragen</t>
        </r>
      </text>
    </comment>
    <comment ref="A90" authorId="0" shapeId="0" xr:uid="{00000000-0006-0000-1000-000006000000}">
      <text>
        <r>
          <rPr>
            <sz val="9"/>
            <color indexed="81"/>
            <rFont val="Segoe UI"/>
            <family val="2"/>
          </rPr>
          <t xml:space="preserve"> bitte die Anzahl der Tage im Monat eintragen mit einer Abwesenheit vom Wohnort mit mindestens 12h</t>
        </r>
      </text>
    </comment>
    <comment ref="A91" authorId="0" shapeId="0" xr:uid="{00000000-0006-0000-1000-000007000000}">
      <text>
        <r>
          <rPr>
            <sz val="9"/>
            <color indexed="81"/>
            <rFont val="Segoe UI"/>
            <family val="2"/>
          </rPr>
          <t>Höhe des zuerkannten Pauschalbetrages in Bezug auf die Verpflegungsmehraufwendungen:
mindestens 6 Euro (ohne Nachweise) bis max. 28 Euro am Tag (mit Nachweisen)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A41" authorId="0" shapeId="0" xr:uid="{00000000-0006-0000-1100-000001000000}">
      <text>
        <r>
          <rPr>
            <b/>
            <sz val="9"/>
            <color indexed="81"/>
            <rFont val="Segoe UI"/>
            <family val="2"/>
          </rPr>
          <t>inklusive auf die Leistungen nach dem BAföG angerechnetem Einkommen</t>
        </r>
      </text>
    </comment>
    <comment ref="A42" authorId="0" shapeId="0" xr:uid="{00000000-0006-0000-1100-000002000000}">
      <text>
        <r>
          <rPr>
            <b/>
            <sz val="9"/>
            <color indexed="81"/>
            <rFont val="Segoe UI"/>
            <family val="2"/>
          </rPr>
          <t>Hinweis:
Der Kinderbetreuungs- zuschlag wurde nicht in die Abzüge aufgenommen, da Kinder mit eigenem Kind eine eigene BG bilden</t>
        </r>
      </text>
    </comment>
    <comment ref="A74" authorId="0" shapeId="0" xr:uid="{00000000-0006-0000-1100-000003000000}">
      <text>
        <r>
          <rPr>
            <b/>
            <sz val="9"/>
            <color indexed="81"/>
            <rFont val="Segoe UI"/>
            <family val="2"/>
          </rPr>
          <t>KaufmannK010:</t>
        </r>
        <r>
          <rPr>
            <sz val="9"/>
            <color indexed="81"/>
            <rFont val="Segoe UI"/>
            <family val="2"/>
          </rPr>
          <t xml:space="preserve">
handelt es sich bei dem Erwerbseinkommen um Ausbildungsvergütung bitte in der jeweiligen Spalte "ja" auswählen.</t>
        </r>
      </text>
    </comment>
    <comment ref="A82" authorId="0" shapeId="0" xr:uid="{00000000-0006-0000-1100-000004000000}">
      <text>
        <r>
          <rPr>
            <b/>
            <sz val="9"/>
            <color indexed="81"/>
            <rFont val="Segoe UI"/>
            <family val="2"/>
          </rPr>
          <t>gemeint sind hier die (täglichen) Fahrten zur Betriebsstätte, d.h. Fahrtkoste für den regulären Arbeitsweg</t>
        </r>
      </text>
    </comment>
    <comment ref="A87" authorId="0" shapeId="0" xr:uid="{00000000-0006-0000-1100-000005000000}">
      <text>
        <r>
          <rPr>
            <sz val="9"/>
            <color indexed="81"/>
            <rFont val="Segoe UI"/>
            <family val="2"/>
          </rPr>
          <t>gemeint sind hier monatlichen Arbeitstage; z.B. bei 5 Tagen in der Woche sind hier 19 Tage einzutragen</t>
        </r>
      </text>
    </comment>
    <comment ref="A90" authorId="0" shapeId="0" xr:uid="{00000000-0006-0000-1100-000006000000}">
      <text>
        <r>
          <rPr>
            <sz val="9"/>
            <color indexed="81"/>
            <rFont val="Segoe UI"/>
            <family val="2"/>
          </rPr>
          <t xml:space="preserve"> bitte die Anzahl der Tage im Monat eintragen mit einer Abwesenheit vom Wohnort mit mindestens 12h</t>
        </r>
      </text>
    </comment>
    <comment ref="A91" authorId="0" shapeId="0" xr:uid="{00000000-0006-0000-1100-000007000000}">
      <text>
        <r>
          <rPr>
            <sz val="9"/>
            <color indexed="81"/>
            <rFont val="Segoe UI"/>
            <family val="2"/>
          </rPr>
          <t>Höhe des zuerkannten Pauschalbetrages in Bezug auf die Verpflegungsmehraufwendungen:
mindestens 6 Euro (ohne Nachweise) bis max. 28 Euro am Tag (mit Nachweisen)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A41" authorId="0" shapeId="0" xr:uid="{00000000-0006-0000-1200-000001000000}">
      <text>
        <r>
          <rPr>
            <b/>
            <sz val="9"/>
            <color indexed="81"/>
            <rFont val="Segoe UI"/>
            <family val="2"/>
          </rPr>
          <t>inklusive auf die Leistungen nach dem BAföG angerechnetem Einkommen</t>
        </r>
      </text>
    </comment>
    <comment ref="A42" authorId="0" shapeId="0" xr:uid="{00000000-0006-0000-1200-000002000000}">
      <text>
        <r>
          <rPr>
            <b/>
            <sz val="9"/>
            <color indexed="81"/>
            <rFont val="Segoe UI"/>
            <family val="2"/>
          </rPr>
          <t>Hinweis:
Der Kinderbetreuungs- zuschlag wurde nicht in die Abzüge aufgenommen, da Kinder mit eigenem Kind eine eigene BG bilden</t>
        </r>
      </text>
    </comment>
    <comment ref="A74" authorId="0" shapeId="0" xr:uid="{00000000-0006-0000-1200-000003000000}">
      <text>
        <r>
          <rPr>
            <b/>
            <sz val="9"/>
            <color indexed="81"/>
            <rFont val="Segoe UI"/>
            <family val="2"/>
          </rPr>
          <t>KaufmannK010:</t>
        </r>
        <r>
          <rPr>
            <sz val="9"/>
            <color indexed="81"/>
            <rFont val="Segoe UI"/>
            <family val="2"/>
          </rPr>
          <t xml:space="preserve">
handelt es sich bei dem Erwerbseinkommen um Ausbildungsvergütung bitte in der jeweiligen Spalte "ja" auswählen.</t>
        </r>
      </text>
    </comment>
    <comment ref="A82" authorId="0" shapeId="0" xr:uid="{00000000-0006-0000-1200-000004000000}">
      <text>
        <r>
          <rPr>
            <b/>
            <sz val="9"/>
            <color indexed="81"/>
            <rFont val="Segoe UI"/>
            <family val="2"/>
          </rPr>
          <t>gemeint sind hier die (täglichen) Fahrten zur Betriebsstätte, d.h. Fahrtkoste für den regulären Arbeitsweg</t>
        </r>
      </text>
    </comment>
    <comment ref="A87" authorId="0" shapeId="0" xr:uid="{00000000-0006-0000-1200-000005000000}">
      <text>
        <r>
          <rPr>
            <sz val="9"/>
            <color indexed="81"/>
            <rFont val="Segoe UI"/>
            <family val="2"/>
          </rPr>
          <t>gemeint sind hier monatlichen Arbeitstage; z.B. bei 5 Tagen in der Woche sind hier 19 Tage einzutragen</t>
        </r>
      </text>
    </comment>
    <comment ref="A90" authorId="0" shapeId="0" xr:uid="{00000000-0006-0000-1200-000006000000}">
      <text>
        <r>
          <rPr>
            <sz val="9"/>
            <color indexed="81"/>
            <rFont val="Segoe UI"/>
            <family val="2"/>
          </rPr>
          <t xml:space="preserve"> bitte die Anzahl der Tage im Monat eintragen mit einer Abwesenheit vom Wohnort mit mindestens 12h</t>
        </r>
      </text>
    </comment>
    <comment ref="A91" authorId="0" shapeId="0" xr:uid="{00000000-0006-0000-1200-000007000000}">
      <text>
        <r>
          <rPr>
            <sz val="9"/>
            <color indexed="81"/>
            <rFont val="Segoe UI"/>
            <family val="2"/>
          </rPr>
          <t>Höhe des zuerkannten Pauschalbetrages in Bezug auf die Verpflegungsmehraufwendungen:
mindestens 6 Euro (ohne Nachweise) bis max. 28 Euro am Tag (mit Nachweisen)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A41" authorId="0" shapeId="0" xr:uid="{00000000-0006-0000-1300-000001000000}">
      <text>
        <r>
          <rPr>
            <b/>
            <sz val="9"/>
            <color indexed="81"/>
            <rFont val="Segoe UI"/>
            <family val="2"/>
          </rPr>
          <t>inklusive auf die Leistungen nach dem BAföG angerechnetem Einkommen</t>
        </r>
      </text>
    </comment>
    <comment ref="A42" authorId="0" shapeId="0" xr:uid="{00000000-0006-0000-1300-000002000000}">
      <text>
        <r>
          <rPr>
            <b/>
            <sz val="9"/>
            <color indexed="81"/>
            <rFont val="Segoe UI"/>
            <family val="2"/>
          </rPr>
          <t>Hinweis:
Der Kinderbetreuungs- zuschlag wurde nicht in die Abzüge aufgenommen, da Kinder mit eigenem Kind eine eigene BG bilden</t>
        </r>
      </text>
    </comment>
    <comment ref="A74" authorId="0" shapeId="0" xr:uid="{00000000-0006-0000-1300-000003000000}">
      <text>
        <r>
          <rPr>
            <b/>
            <sz val="9"/>
            <color indexed="81"/>
            <rFont val="Segoe UI"/>
            <family val="2"/>
          </rPr>
          <t>KaufmannK010:</t>
        </r>
        <r>
          <rPr>
            <sz val="9"/>
            <color indexed="81"/>
            <rFont val="Segoe UI"/>
            <family val="2"/>
          </rPr>
          <t xml:space="preserve">
handelt es sich bei dem Erwerbseinkommen um Ausbildungsvergütung bitte in der jeweiligen Spalte "ja" auswählen.</t>
        </r>
      </text>
    </comment>
    <comment ref="A82" authorId="0" shapeId="0" xr:uid="{00000000-0006-0000-1300-000004000000}">
      <text>
        <r>
          <rPr>
            <b/>
            <sz val="9"/>
            <color indexed="81"/>
            <rFont val="Segoe UI"/>
            <family val="2"/>
          </rPr>
          <t>gemeint sind hier die (täglichen) Fahrten zur Betriebsstätte, d.h. Fahrtkoste für den regulären Arbeitsweg</t>
        </r>
      </text>
    </comment>
    <comment ref="A87" authorId="0" shapeId="0" xr:uid="{00000000-0006-0000-1300-000005000000}">
      <text>
        <r>
          <rPr>
            <sz val="9"/>
            <color indexed="81"/>
            <rFont val="Segoe UI"/>
            <family val="2"/>
          </rPr>
          <t>gemeint sind hier monatlichen Arbeitstage; z.B. bei 5 Tagen in der Woche sind hier 19 Tage einzutragen</t>
        </r>
      </text>
    </comment>
    <comment ref="A90" authorId="0" shapeId="0" xr:uid="{00000000-0006-0000-1300-000006000000}">
      <text>
        <r>
          <rPr>
            <sz val="9"/>
            <color indexed="81"/>
            <rFont val="Segoe UI"/>
            <family val="2"/>
          </rPr>
          <t xml:space="preserve"> bitte die Anzahl der Tage im Monat eintragen mit einer Abwesenheit vom Wohnort mit mindestens 12h</t>
        </r>
      </text>
    </comment>
    <comment ref="A91" authorId="0" shapeId="0" xr:uid="{00000000-0006-0000-1300-000007000000}">
      <text>
        <r>
          <rPr>
            <sz val="9"/>
            <color indexed="81"/>
            <rFont val="Segoe UI"/>
            <family val="2"/>
          </rPr>
          <t>Höhe des zuerkannten Pauschalbetrages in Bezug auf die Verpflegungsmehraufwendungen:
mindestens 6 Euro (ohne Nachweise) bis max. 28 Euro am Tag (mit Nachweisen)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KaufmannK010</author>
  </authors>
  <commentList>
    <comment ref="A41" authorId="0" shapeId="0" xr:uid="{00000000-0006-0000-1400-000001000000}">
      <text>
        <r>
          <rPr>
            <b/>
            <sz val="9"/>
            <color indexed="81"/>
            <rFont val="Segoe UI"/>
            <family val="2"/>
          </rPr>
          <t>inklusive auf die Leistungen nach dem BAföG angerechnetem Einkommen</t>
        </r>
      </text>
    </comment>
    <comment ref="A42" authorId="0" shapeId="0" xr:uid="{00000000-0006-0000-1400-000002000000}">
      <text>
        <r>
          <rPr>
            <b/>
            <sz val="9"/>
            <color indexed="81"/>
            <rFont val="Segoe UI"/>
            <family val="2"/>
          </rPr>
          <t>Hinweis:
Der Kinderbetreuungs- zuschlag wurde nicht in die Abzüge aufgenommen, da Kinder mit eigenem Kind eine eigene BG bilden</t>
        </r>
      </text>
    </comment>
    <comment ref="A74" authorId="0" shapeId="0" xr:uid="{00000000-0006-0000-1400-000003000000}">
      <text>
        <r>
          <rPr>
            <b/>
            <sz val="9"/>
            <color indexed="81"/>
            <rFont val="Segoe UI"/>
            <family val="2"/>
          </rPr>
          <t>KaufmannK010:</t>
        </r>
        <r>
          <rPr>
            <sz val="9"/>
            <color indexed="81"/>
            <rFont val="Segoe UI"/>
            <family val="2"/>
          </rPr>
          <t xml:space="preserve">
handelt es sich bei dem Erwerbseinkommen um Ausbildungsvergütung bitte in der jeweiligen Spalte "ja" auswählen.</t>
        </r>
      </text>
    </comment>
    <comment ref="A82" authorId="0" shapeId="0" xr:uid="{00000000-0006-0000-1400-000004000000}">
      <text>
        <r>
          <rPr>
            <b/>
            <sz val="9"/>
            <color indexed="81"/>
            <rFont val="Segoe UI"/>
            <family val="2"/>
          </rPr>
          <t>gemeint sind hier die (täglichen) Fahrten zur Betriebsstätte, d.h. Fahrtkoste für den regulären Arbeitsweg</t>
        </r>
      </text>
    </comment>
    <comment ref="A87" authorId="0" shapeId="0" xr:uid="{00000000-0006-0000-1400-000005000000}">
      <text>
        <r>
          <rPr>
            <sz val="9"/>
            <color indexed="81"/>
            <rFont val="Segoe UI"/>
            <family val="2"/>
          </rPr>
          <t>gemeint sind hier monatlichen Arbeitstage; z.B. bei 5 Tagen in der Woche sind hier 19 Tage einzutragen</t>
        </r>
      </text>
    </comment>
    <comment ref="A90" authorId="0" shapeId="0" xr:uid="{00000000-0006-0000-1400-000006000000}">
      <text>
        <r>
          <rPr>
            <sz val="9"/>
            <color indexed="81"/>
            <rFont val="Segoe UI"/>
            <family val="2"/>
          </rPr>
          <t xml:space="preserve"> bitte die Anzahl der Tage im Monat eintragen mit einer Abwesenheit vom Wohnort mit mindestens 12h</t>
        </r>
      </text>
    </comment>
    <comment ref="A91" authorId="0" shapeId="0" xr:uid="{00000000-0006-0000-1400-000007000000}">
      <text>
        <r>
          <rPr>
            <sz val="9"/>
            <color indexed="81"/>
            <rFont val="Segoe UI"/>
            <family val="2"/>
          </rPr>
          <t>Höhe des zuerkannten Pauschalbetrages in Bezug auf die Verpflegungsmehraufwendungen:
mindestens 6 Euro (ohne Nachweise) bis max. 28 Euro am Tag (mit Nachweisen)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FalkM003</author>
    <author>KaufmannK010</author>
  </authors>
  <commentList>
    <comment ref="N10" authorId="0" shapeId="0" xr:uid="{00000000-0006-0000-1700-000001000000}">
      <text>
        <r>
          <rPr>
            <b/>
            <sz val="9"/>
            <color indexed="81"/>
            <rFont val="Segoe UI"/>
            <family val="2"/>
          </rPr>
          <t>bis 30.09.2020
10%:  a, b
20 %:  c
30 %: kumulierter Wert
ab 01.10.2020
5 %:   Terminale Niereninsuffizienz mit Dialysetherapie
10 %: Krankheitsassoziierte Mangelernährung  nach   
            individueller medizinischer Beurteilung
            (Tumorerkrankungen, Chronisch obstruktive 
            Lungenerkrankungen (COPD), CED (Morbus Crohn, 
            Collitis Ulcerosa), Neurologische Erkrankungen (auch 
            Schluckstörungen), terminale und präterminale 
            Niereninsuffizienz, insb. bei Dialyse, Wundheilungs-
            störungen, Lebererkrankungen (z.B. alkoholische  
            Steatohepatitis, Leberzirrhose))
20  %: Zöliakie
30 % : Mukoviszidose/zystische Fibrose
Für Schluckstörungen ist die Höhe der tatsächlichen Aufwendungen als besonderer Bedarf zu erfassen.</t>
        </r>
      </text>
    </comment>
    <comment ref="N11" authorId="1" shapeId="0" xr:uid="{00000000-0006-0000-1700-000002000000}">
      <text>
        <r>
          <rPr>
            <b/>
            <sz val="9"/>
            <color indexed="81"/>
            <rFont val="Segoe UI"/>
            <family val="2"/>
          </rPr>
          <t>Der Mehrbedsrf steht Schwerbehinderten zu, die das 65. Lebensjahr vollendet haben und Erwerbsunfähigen, wenn im SB-Ausweis das Merkzeichen G vermerkt ist</t>
        </r>
      </text>
    </comment>
    <comment ref="A13" authorId="1" shapeId="0" xr:uid="{00000000-0006-0000-1700-000003000000}">
      <text>
        <r>
          <rPr>
            <b/>
            <sz val="9"/>
            <color indexed="81"/>
            <rFont val="Segoe UI"/>
            <family val="2"/>
          </rPr>
          <t>KaufmannK010:</t>
        </r>
        <r>
          <rPr>
            <sz val="9"/>
            <color indexed="81"/>
            <rFont val="Segoe UI"/>
            <family val="2"/>
          </rPr>
          <t xml:space="preserve">
zum Beispiel beim Wechselmodell
</t>
        </r>
      </text>
    </comment>
    <comment ref="P20" authorId="0" shapeId="0" xr:uid="{00000000-0006-0000-1700-000004000000}">
      <text>
        <r>
          <rPr>
            <b/>
            <sz val="9"/>
            <color indexed="81"/>
            <rFont val="Segoe UI"/>
            <family val="2"/>
          </rPr>
          <t>bis 30.09.2020
10%:  a, b
20 %:  c
30 %: kumulierter Wert
ab 01.10.2020
5 %:   Terminale Niereninsuffizienz mit Dialysetherapie
10 %: Krankheitsassoziierte Mangelernährung  nach   
            individueller medizinischer Beurteilung
            (Tumorerkrankungen, Chronisch obstruktive 
            Lungenerkrankungen (COPD), CED (Morbus Crohn, 
            Collitis Ulcerosa), Neurologische Erkrankungen (auch 
            Schluckstörungen), terminale und präterminale 
            Niereninsuffizienz, insb. bei Dialyse, Wundheilungs-
            störungen, Lebererkrankungen (z.B. alkoholische  
            Steatohepatitis, Leberzirrhose))
20  %: Zöliakie
30 % : Mukoviszidose/zystische Fibrose
Für Schluckstörungen ist die Höhe der tatsächlichen Aufwendungen als besonderer Bedarf zu erfassen.</t>
        </r>
      </text>
    </comment>
    <comment ref="P21" authorId="1" shapeId="0" xr:uid="{00000000-0006-0000-1700-000005000000}">
      <text>
        <r>
          <rPr>
            <b/>
            <sz val="9"/>
            <color indexed="81"/>
            <rFont val="Segoe UI"/>
            <family val="2"/>
          </rPr>
          <t>Der Mehrbedsrf steht Schwerbehinderten zu, die das 65. Lebensjahr vollendet haben und Erwerbsunfähigen, wenn im SB-Ausweis das Merkzeichen G vermerkt ist</t>
        </r>
      </text>
    </comment>
    <comment ref="A55" authorId="1" shapeId="0" xr:uid="{00000000-0006-0000-1700-000006000000}">
      <text>
        <r>
          <rPr>
            <b/>
            <sz val="9"/>
            <color indexed="81"/>
            <rFont val="Segoe UI"/>
            <family val="2"/>
          </rPr>
          <t>KaufmannK010:</t>
        </r>
        <r>
          <rPr>
            <sz val="9"/>
            <color indexed="81"/>
            <rFont val="Segoe UI"/>
            <family val="2"/>
          </rPr>
          <t xml:space="preserve">
zum Beispiel beim Wechselmodell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FalkM003</author>
  </authors>
  <commentList>
    <comment ref="K41" authorId="0" shapeId="0" xr:uid="{00000000-0006-0000-1B00-000001000000}">
      <text>
        <r>
          <rPr>
            <b/>
            <sz val="9"/>
            <color indexed="81"/>
            <rFont val="Segoe UI"/>
            <family val="2"/>
          </rPr>
          <t xml:space="preserve">Diese Abfrage dient der Feststellung, wie viele Kinder über 18 ohne KG, aber zur BG gehörig vorhanden sind, da diese für den prozentualen Anteil nicht berücksichtigt werden. Dabei ist zu berücksichtigten, dass ein Kind sowohl über 18 ohne KG, als auch mit Einkommen über eigenen Bedarf aus der Berechnung auszuschließen ist. Das Ergebnis wird in die Zelle K13 und K31 übertragen. </t>
        </r>
      </text>
    </comment>
  </commentList>
</comments>
</file>

<file path=xl/sharedStrings.xml><?xml version="1.0" encoding="utf-8"?>
<sst xmlns="http://schemas.openxmlformats.org/spreadsheetml/2006/main" count="3028" uniqueCount="621">
  <si>
    <t>Fachschlüssel:</t>
  </si>
  <si>
    <t xml:space="preserve">Monat der Antragstellung: </t>
  </si>
  <si>
    <t xml:space="preserve">                   Familienstand Antragsteller:</t>
  </si>
  <si>
    <t>(Hinweis:</t>
  </si>
  <si>
    <t xml:space="preserve">mit Partner = </t>
  </si>
  <si>
    <t>Verwantwortungs- und Einstehensgemeinschaft;</t>
  </si>
  <si>
    <t xml:space="preserve">verheiratet = </t>
  </si>
  <si>
    <t>verheiratet / eingetragene Lebenspartnerschaft und</t>
  </si>
  <si>
    <t>nicht dauernd getrennt lebend)</t>
  </si>
  <si>
    <t>Bedarfsgemeinschaft:</t>
  </si>
  <si>
    <t>Geburtsdatum</t>
  </si>
  <si>
    <t>Alter</t>
  </si>
  <si>
    <t>Antragsteller/in</t>
  </si>
  <si>
    <t>Kind 1</t>
  </si>
  <si>
    <t>Kind 2</t>
  </si>
  <si>
    <t>Kind 3</t>
  </si>
  <si>
    <t>Kind 4</t>
  </si>
  <si>
    <t>Kind 5</t>
  </si>
  <si>
    <t>Kind 6</t>
  </si>
  <si>
    <t>Monat der Antragstellung:</t>
  </si>
  <si>
    <t>Bemessungszeitraum:</t>
  </si>
  <si>
    <t>bis</t>
  </si>
  <si>
    <t>Einnahmen</t>
  </si>
  <si>
    <t>Leistungen</t>
  </si>
  <si>
    <t>Erwerbs-</t>
  </si>
  <si>
    <t>selbständige</t>
  </si>
  <si>
    <t xml:space="preserve">Leistungen </t>
  </si>
  <si>
    <t>Unterhalts-</t>
  </si>
  <si>
    <t>Vermietung/</t>
  </si>
  <si>
    <t>Monat</t>
  </si>
  <si>
    <t>einkommen</t>
  </si>
  <si>
    <t>Tätigkeit</t>
  </si>
  <si>
    <t>der BA</t>
  </si>
  <si>
    <t>KV/UV</t>
  </si>
  <si>
    <t>RV</t>
  </si>
  <si>
    <t>leistungen</t>
  </si>
  <si>
    <t>Verpachtung</t>
  </si>
  <si>
    <t>Elterngeld</t>
  </si>
  <si>
    <t>Einmalzahlung</t>
  </si>
  <si>
    <t>sonstige</t>
  </si>
  <si>
    <t>Erwerbs-einkommen</t>
  </si>
  <si>
    <t>selbständige Tätigkeit</t>
  </si>
  <si>
    <t>BAföG</t>
  </si>
  <si>
    <t>Summe aller Bruttoeinkünfte im Bemessungszeitraum:</t>
  </si>
  <si>
    <t>Monate im Bemessungszeitraum:</t>
  </si>
  <si>
    <t>Mindesteinkommensgrenze:</t>
  </si>
  <si>
    <t>Ermittlung der Erwerbseinkünfte</t>
  </si>
  <si>
    <t>Erwerbseinkommen</t>
  </si>
  <si>
    <t>Summe</t>
  </si>
  <si>
    <t>Durchschnitt</t>
  </si>
  <si>
    <t>Steuern und SV-Beiträge (lfd.)</t>
  </si>
  <si>
    <t>Steuern und SV-Beiträge (EZ)</t>
  </si>
  <si>
    <t>Betriebsausgaben</t>
  </si>
  <si>
    <t>Gewinn</t>
  </si>
  <si>
    <t>Fahrtkosten</t>
  </si>
  <si>
    <t>Werbungskosten</t>
  </si>
  <si>
    <t>Kfz-Versicherung</t>
  </si>
  <si>
    <t>freiwillige KV/PV/UV/RV</t>
  </si>
  <si>
    <t>Riester-Rente</t>
  </si>
  <si>
    <t>Grundfreibetrag</t>
  </si>
  <si>
    <t>Freibetrag Stufe 1</t>
  </si>
  <si>
    <t>Freibetrag Stufe 2</t>
  </si>
  <si>
    <t>bereinigtes Einkommen</t>
  </si>
  <si>
    <t>nicht ausgeschöpfter</t>
  </si>
  <si>
    <t>Freibetrag für EZ</t>
  </si>
  <si>
    <t>anzurechnende EZ</t>
  </si>
  <si>
    <t>Leistungen der BA</t>
  </si>
  <si>
    <t>Abzug lfd. Leistung</t>
  </si>
  <si>
    <t>Abzug Einmalzahlung</t>
  </si>
  <si>
    <t>Leistungenv der KV/UV</t>
  </si>
  <si>
    <t>Renten der gesetzl. RV</t>
  </si>
  <si>
    <t>Vermietung/Verpachtung</t>
  </si>
  <si>
    <t>Freibetrag lfd. Leistung</t>
  </si>
  <si>
    <t>sonstige (Einmal-)Zahlung</t>
  </si>
  <si>
    <t>Abzug</t>
  </si>
  <si>
    <t>weitere Abzüge:</t>
  </si>
  <si>
    <t>Versicherungspauschale</t>
  </si>
  <si>
    <t>anzurech-</t>
  </si>
  <si>
    <t>nendes</t>
  </si>
  <si>
    <t>Einkommen</t>
  </si>
  <si>
    <t>Gesamteinkommen:</t>
  </si>
  <si>
    <t>Einkommen aus Erwerbstätigkeit:</t>
  </si>
  <si>
    <t>sonstiges Einkommen:</t>
  </si>
  <si>
    <t>Unterhalt/UVG</t>
  </si>
  <si>
    <t>Summe:</t>
  </si>
  <si>
    <t>auf den Kinderzuschlag</t>
  </si>
  <si>
    <t xml:space="preserve">anzurechnendes </t>
  </si>
  <si>
    <t>Einkommen des Kindes:</t>
  </si>
  <si>
    <t>Kosten für angemieteten Wohnraum:</t>
  </si>
  <si>
    <t>Kaltmiete</t>
  </si>
  <si>
    <t>Heizkosten</t>
  </si>
  <si>
    <t>Kosten für Wohneigentum:</t>
  </si>
  <si>
    <t>Schuld-</t>
  </si>
  <si>
    <t>zinsen</t>
  </si>
  <si>
    <t>Haus-</t>
  </si>
  <si>
    <t>geld</t>
  </si>
  <si>
    <t>Heiz-</t>
  </si>
  <si>
    <t>kosten</t>
  </si>
  <si>
    <t>Warm-</t>
  </si>
  <si>
    <t>wasser</t>
  </si>
  <si>
    <t>Trink-</t>
  </si>
  <si>
    <t>Ab-</t>
  </si>
  <si>
    <t>Müll-</t>
  </si>
  <si>
    <t>abfuhr</t>
  </si>
  <si>
    <t>Schorn-</t>
  </si>
  <si>
    <t>stein</t>
  </si>
  <si>
    <t>reinigung</t>
  </si>
  <si>
    <t>Grund-</t>
  </si>
  <si>
    <t>steuer</t>
  </si>
  <si>
    <t>Gebäude-</t>
  </si>
  <si>
    <t>Kosten</t>
  </si>
  <si>
    <t>Brenn-</t>
  </si>
  <si>
    <t>stoffe</t>
  </si>
  <si>
    <t>Straßen-</t>
  </si>
  <si>
    <t>selbstb.</t>
  </si>
  <si>
    <t>versich-</t>
  </si>
  <si>
    <t>erung</t>
  </si>
  <si>
    <t>Bemessungszeitraum umfasst</t>
  </si>
  <si>
    <t xml:space="preserve"> (Monate)</t>
  </si>
  <si>
    <t xml:space="preserve"> (Format: TT.MM.JJJJ)</t>
  </si>
  <si>
    <t>Bemessungszeitraum</t>
  </si>
  <si>
    <t>Einzug ins Wohneigentum</t>
  </si>
  <si>
    <t>Bank- und Sparguthaben; Bargeld</t>
  </si>
  <si>
    <t>Wertpapiere, Aktien, Aktienfonds</t>
  </si>
  <si>
    <t>Kapitallebensversicherungen, priv. Rentenversicherung</t>
  </si>
  <si>
    <t>Bausparguthaben</t>
  </si>
  <si>
    <t>Wohn- und Grundeigentum</t>
  </si>
  <si>
    <t>Geldforderungen</t>
  </si>
  <si>
    <t>Rechte aus Grundschulden, Nießbrauch, Altenteil</t>
  </si>
  <si>
    <t>sonstige Vermögenswerte</t>
  </si>
  <si>
    <t>Elternteil 1</t>
  </si>
  <si>
    <t>Elternteil 2</t>
  </si>
  <si>
    <t>Grundfreibetrag für minderjährige Kinder</t>
  </si>
  <si>
    <t>gefördertes Altersvorsorgevermögen (Riester)</t>
  </si>
  <si>
    <t>zur Altersvorsorge bestimmte Versicherungen</t>
  </si>
  <si>
    <t>Grundfreibetrag für Volljärige</t>
  </si>
  <si>
    <t>anzurechnendes Vermögen</t>
  </si>
  <si>
    <t>genutzter Freibetrag für notwendige Anschaffungen</t>
  </si>
  <si>
    <t>nicht genutzter Freibetrag</t>
  </si>
  <si>
    <t>Gesamtsumme:</t>
  </si>
  <si>
    <t>Verteilmonate:</t>
  </si>
  <si>
    <t>Durchschnitt:</t>
  </si>
  <si>
    <t>Antragsteller</t>
  </si>
  <si>
    <t>Mehrbedarfe:</t>
  </si>
  <si>
    <t>Schwangerschaft</t>
  </si>
  <si>
    <t>Alleinerziehung</t>
  </si>
  <si>
    <t>Teilhabe am Arbeitsleben</t>
  </si>
  <si>
    <t>Kostenaufwändige Ernährung</t>
  </si>
  <si>
    <t>volle Erwerbsminderung</t>
  </si>
  <si>
    <t>besonderer Bedarf</t>
  </si>
  <si>
    <t>dez. WW-Erzeugung</t>
  </si>
  <si>
    <t>Regelbedarf:</t>
  </si>
  <si>
    <t>Mehrbedarf:</t>
  </si>
  <si>
    <t>BdU:</t>
  </si>
  <si>
    <t>Gesamtbedarf:</t>
  </si>
  <si>
    <t>Alleinstehend</t>
  </si>
  <si>
    <t>Partner</t>
  </si>
  <si>
    <t>Kind bis</t>
  </si>
  <si>
    <t>5 Jahre</t>
  </si>
  <si>
    <t>Kind von 6 bis</t>
  </si>
  <si>
    <t>13 Jahre</t>
  </si>
  <si>
    <t>Kind von 14 bis</t>
  </si>
  <si>
    <t>17 Jahre</t>
  </si>
  <si>
    <t>Kind von 18</t>
  </si>
  <si>
    <t>bis 24 Jahre</t>
  </si>
  <si>
    <t>6 Jahre</t>
  </si>
  <si>
    <t>14 Jahre</t>
  </si>
  <si>
    <t>18 Jahre</t>
  </si>
  <si>
    <t>Geb-Tag</t>
  </si>
  <si>
    <t>Anzahl Tage</t>
  </si>
  <si>
    <t>bisheriger</t>
  </si>
  <si>
    <t>Regelbedarf</t>
  </si>
  <si>
    <t>neuer</t>
  </si>
  <si>
    <t>Tage im M.</t>
  </si>
  <si>
    <t>Anzahl der Personen in der</t>
  </si>
  <si>
    <t>Haushaltsgemeinschaft:</t>
  </si>
  <si>
    <t>abweichender Regelbedarf:</t>
  </si>
  <si>
    <t>Dezentrale Warmwasser-</t>
  </si>
  <si>
    <t>aufbereitung?</t>
  </si>
  <si>
    <t>MB WW</t>
  </si>
  <si>
    <t>Angaben zu den Mehrbedarfen:</t>
  </si>
  <si>
    <t>Schwangerschaft:</t>
  </si>
  <si>
    <t>Alleinerziehung:</t>
  </si>
  <si>
    <t>Teilhabe am Arbeitsleben:</t>
  </si>
  <si>
    <t>Kostenaufwändige Ernährung:</t>
  </si>
  <si>
    <t>.</t>
  </si>
  <si>
    <t>MB Alleiner-</t>
  </si>
  <si>
    <t>ziehung</t>
  </si>
  <si>
    <t>MB</t>
  </si>
  <si>
    <t>Schwanger</t>
  </si>
  <si>
    <t>AS</t>
  </si>
  <si>
    <t>EP</t>
  </si>
  <si>
    <t>voraussichtl. ET (TT.MM.JJJJ)</t>
  </si>
  <si>
    <t xml:space="preserve">Beim Klick in die jeweilge Zelle für Mehrbedarf und Person lässt sich eine Klappliste öffnen. Zur Berücksichtigung des Mehrbedarfes </t>
  </si>
  <si>
    <t xml:space="preserve">bitte die entsprechende Auswahl treffen. </t>
  </si>
  <si>
    <t>Zum Mehrbedarf Schwangerschaft: Bitte immer den VET eintragen, die Berechnung zur 13. Schwangerschaftswoche ermittelt sich</t>
  </si>
  <si>
    <t>automatisch. Das Feld "Anspruchstage" ist nur bei Beendigung der Schwangerschaft zu befüllen.</t>
  </si>
  <si>
    <t>Kindergeld</t>
  </si>
  <si>
    <t>verbleibender Gesamt-</t>
  </si>
  <si>
    <t>Vermögen Kind</t>
  </si>
  <si>
    <t>8.1. Bedarfsermittlung:</t>
  </si>
  <si>
    <t>Das Kind verbleibt in der</t>
  </si>
  <si>
    <t>Summe Bedarf der</t>
  </si>
  <si>
    <t>einkommen Eltern:</t>
  </si>
  <si>
    <t>anteilige Wohnkosten</t>
  </si>
  <si>
    <t>Alleinstehende Elternteile</t>
  </si>
  <si>
    <t>Elternpaare</t>
  </si>
  <si>
    <t>Wohnanteil in %</t>
  </si>
  <si>
    <t>Antragsmonat</t>
  </si>
  <si>
    <t>9.1. Ermittlung des höchstmöglichen Kinderzuschlags:</t>
  </si>
  <si>
    <t>ungeminderter Kinderzuschlag</t>
  </si>
  <si>
    <t>anzurechnendes Einkommen</t>
  </si>
  <si>
    <t>verbleibender Kinderzuschlag</t>
  </si>
  <si>
    <t>Kind gehört zur BG?</t>
  </si>
  <si>
    <t>Kinderzuschlag</t>
  </si>
  <si>
    <t>Gesamtkinderzuschlag</t>
  </si>
  <si>
    <t>Regelbedarf der Eltern:</t>
  </si>
  <si>
    <t>Elternanteil BdU:</t>
  </si>
  <si>
    <t>Familienstand</t>
  </si>
  <si>
    <t>Anzahl Kind</t>
  </si>
  <si>
    <t>Anzahl Kinder</t>
  </si>
  <si>
    <t>allein</t>
  </si>
  <si>
    <t>Elternpaar</t>
  </si>
  <si>
    <t>Gesamtkinderzuschlag:</t>
  </si>
  <si>
    <t>Höchsteinkommens-</t>
  </si>
  <si>
    <t>grenze:</t>
  </si>
  <si>
    <t>(mit Höchtseinkommensgrenze zu vergleichender Betrag)</t>
  </si>
  <si>
    <t>Gesamtanspruch auf Kinderzuschlag:</t>
  </si>
  <si>
    <t>abzüglich:</t>
  </si>
  <si>
    <t>Erwerbseinkünfte über</t>
  </si>
  <si>
    <t>Betriebskosten</t>
  </si>
  <si>
    <t>ggf. abweichender Betrag:</t>
  </si>
  <si>
    <t>KG-</t>
  </si>
  <si>
    <t>Bezug?</t>
  </si>
  <si>
    <t>einfache Entfernung:</t>
  </si>
  <si>
    <t>zurückgelegt an x Tagen:</t>
  </si>
  <si>
    <t>weitere Werbungskosten</t>
  </si>
  <si>
    <t>Kosten öffentl. Verkehrsmittel:</t>
  </si>
  <si>
    <t>mind. 12h Abwesenheit</t>
  </si>
  <si>
    <t>Verpflegungsmehraufwand</t>
  </si>
  <si>
    <t>Abzug von der lfd. Leistung</t>
  </si>
  <si>
    <t>Abzug von der Einmalzahlung</t>
  </si>
  <si>
    <t>Betriebseinnahmen</t>
  </si>
  <si>
    <t>(selbständige Tätigkeit)</t>
  </si>
  <si>
    <t>Grundfreibeträge:</t>
  </si>
  <si>
    <t>ab 18</t>
  </si>
  <si>
    <t>Azubi u18</t>
  </si>
  <si>
    <t>Azubi ü18</t>
  </si>
  <si>
    <t>u18</t>
  </si>
  <si>
    <t>Azubi nein</t>
  </si>
  <si>
    <t>Azubi ja</t>
  </si>
  <si>
    <t>Ermittlung des anderen Einkommens</t>
  </si>
  <si>
    <t>BAföG-Leistungen</t>
  </si>
  <si>
    <t>Minderung des Kinderzuschlags um</t>
  </si>
  <si>
    <t>50% (bis 31.12.2019)</t>
  </si>
  <si>
    <t>45% (ab 01.01.2020)</t>
  </si>
  <si>
    <t>Restbedarf der Bedarfsgemeinschaft:</t>
  </si>
  <si>
    <t>verbleibender Bedarf der Bedarfsgemeinschaft:</t>
  </si>
  <si>
    <t>errechneter oder tatsächlicher Wohngeldanspruch:</t>
  </si>
  <si>
    <t>weiterhin ungedeckter Bedarf:</t>
  </si>
  <si>
    <t>Zustehender Gesamtkinderzuschlag:</t>
  </si>
  <si>
    <t>9.5. Prüfung des Anspruchs auf Kinderzuschlag:</t>
  </si>
  <si>
    <t>titulierte Unterhalts-</t>
  </si>
  <si>
    <t>ansprüche</t>
  </si>
  <si>
    <t xml:space="preserve">bei BAföG-Berechnung </t>
  </si>
  <si>
    <t>bereits angerechnetes EK</t>
  </si>
  <si>
    <t>zuzüglich:</t>
  </si>
  <si>
    <t>nicht ausgezahltes KG für</t>
  </si>
  <si>
    <t>Kinder außerhalb der BG</t>
  </si>
  <si>
    <t>Kind1</t>
  </si>
  <si>
    <t>1.3. Prüfung der Mindesteinkommensgrenze:</t>
  </si>
  <si>
    <t>9.4. Berechnung des zustehenden Kinderzuschlags:</t>
  </si>
  <si>
    <t>9.3. Höchsteinkommensgrenze:</t>
  </si>
  <si>
    <t>Leistungs-</t>
  </si>
  <si>
    <t>ausschluss?</t>
  </si>
  <si>
    <t xml:space="preserve">Hinweis zu den Kindern: Bitte alle Kinder der Bedarfsgemeinschaft eintragen und im entsprechenden Feld aus der Klappliste zum KG-Bezug </t>
  </si>
  <si>
    <t>die entsprechende Auswahl treffen. Die Klappliste lässt sich bei Klick in die Zelle öffnen.</t>
  </si>
  <si>
    <t>Hinweis zum Leistungsausschluss: Sollte ein Mitglied der Bedarfsgemeinschaft von Leistungen ausgeschlossen sein, bitte durch</t>
  </si>
  <si>
    <t>Klick in die Zelle die entsprechende Auswahl treffen.</t>
  </si>
  <si>
    <t>Leistungsausschluss?</t>
  </si>
  <si>
    <t>Einkommensermittlung beim Leistungsausschluss:</t>
  </si>
  <si>
    <t>Bedarf:</t>
  </si>
  <si>
    <t>Einkommen:</t>
  </si>
  <si>
    <t>Prüfung, ob EHB in BG:</t>
  </si>
  <si>
    <t>Ausschluss</t>
  </si>
  <si>
    <t>Kind ab 15?</t>
  </si>
  <si>
    <t>Eltern</t>
  </si>
  <si>
    <t>für BMG</t>
  </si>
  <si>
    <t>anderes Einkommen:</t>
  </si>
  <si>
    <t>Erwerbseinkommen:</t>
  </si>
  <si>
    <t>anzurechnendes Einkommen (über BMG):</t>
  </si>
  <si>
    <t>o.LA</t>
  </si>
  <si>
    <t>m.LA</t>
  </si>
  <si>
    <t>anzusetzender Betrag:</t>
  </si>
  <si>
    <t>in Bezug auf Leistungsausschluss</t>
  </si>
  <si>
    <t>Eltern EHB - allein</t>
  </si>
  <si>
    <t>Eltern EHB - Paar</t>
  </si>
  <si>
    <t>Vermögen bei Leistungsauschluss:</t>
  </si>
  <si>
    <t>zu berücksichtigendes Einkommen / Vermögen</t>
  </si>
  <si>
    <t>Vermögen</t>
  </si>
  <si>
    <t>anzurechnen:</t>
  </si>
  <si>
    <t>anzurechnendes Erwerbs-</t>
  </si>
  <si>
    <t>anzurechnendes anderes</t>
  </si>
  <si>
    <t>anderes Einkommen und Vermögen:</t>
  </si>
  <si>
    <t>Gesamteinkommen und / oder Vermögen</t>
  </si>
  <si>
    <t>anzurechnendes Erwerbseinkommen:</t>
  </si>
  <si>
    <t>gesamt</t>
  </si>
  <si>
    <t>K1</t>
  </si>
  <si>
    <t>K2</t>
  </si>
  <si>
    <t>K3</t>
  </si>
  <si>
    <t>K4</t>
  </si>
  <si>
    <t>K5</t>
  </si>
  <si>
    <t>K6</t>
  </si>
  <si>
    <t>abzgl.:</t>
  </si>
  <si>
    <t>KV/PV:</t>
  </si>
  <si>
    <r>
      <t xml:space="preserve">RV </t>
    </r>
    <r>
      <rPr>
        <sz val="10"/>
        <color theme="1"/>
        <rFont val="Arial"/>
        <family val="2"/>
      </rPr>
      <t>(bei Befreiung RV-Pflicht):</t>
    </r>
  </si>
  <si>
    <t>Kfz-Haftpflichtversicherung:</t>
  </si>
  <si>
    <t>Versicherungspauschale:</t>
  </si>
  <si>
    <t>Fahrtkosten:</t>
  </si>
  <si>
    <t>weitere Werbungskosten:</t>
  </si>
  <si>
    <t>Summe der Abzüge:</t>
  </si>
  <si>
    <t>Einmalzahlung (BaföG):</t>
  </si>
  <si>
    <t>anzurechnendes BAföG:</t>
  </si>
  <si>
    <t>Hinweis - Sofern Einkommen aus Erwerbstätigkeit oder Leistungen nach dem BAföG bezogen werden, ist hier nichts einzutragen.</t>
  </si>
  <si>
    <t>9.2. Gesamtbedarf der Eltern:</t>
  </si>
  <si>
    <t>Gesamtbedarf der Eltern:</t>
  </si>
  <si>
    <t>anderes EK + Vermögen:</t>
  </si>
  <si>
    <t>über dem Gesamtbedarf der Eltern:</t>
  </si>
  <si>
    <t>anderes Einkommen und Vermögen</t>
  </si>
  <si>
    <t>dem Gesamtbedarf der Eltern:</t>
  </si>
  <si>
    <t>für Vermögen</t>
  </si>
  <si>
    <t>mit Kü18</t>
  </si>
  <si>
    <t>ü18?</t>
  </si>
  <si>
    <t>Anz. Kinder</t>
  </si>
  <si>
    <t>Anz. K ü18</t>
  </si>
  <si>
    <t>nach dem</t>
  </si>
  <si>
    <t>Sonstiges</t>
  </si>
  <si>
    <t>(z.B. Einmal-</t>
  </si>
  <si>
    <t>zahlungen)</t>
  </si>
  <si>
    <t>anderes Einkommen</t>
  </si>
  <si>
    <t>Kind 7</t>
  </si>
  <si>
    <t>Kind 8</t>
  </si>
  <si>
    <t>Kind 9</t>
  </si>
  <si>
    <t>Kind 10</t>
  </si>
  <si>
    <t>Kind 11</t>
  </si>
  <si>
    <t>Kind 12</t>
  </si>
  <si>
    <t>Kinderbetreuungszuschlag:</t>
  </si>
  <si>
    <t>GesamtBdU</t>
  </si>
  <si>
    <t>K7</t>
  </si>
  <si>
    <t>K8</t>
  </si>
  <si>
    <t>K9</t>
  </si>
  <si>
    <t>K10</t>
  </si>
  <si>
    <t>K11</t>
  </si>
  <si>
    <t>K12</t>
  </si>
  <si>
    <t>für Alter</t>
  </si>
  <si>
    <t>Student</t>
  </si>
  <si>
    <t>Summe verbleibender</t>
  </si>
  <si>
    <t>BAföG-Bezug?</t>
  </si>
  <si>
    <t>verheiratete Studenten</t>
  </si>
  <si>
    <t>Erfolgt ein Negativausgleich?</t>
  </si>
  <si>
    <t>Erwerbsek</t>
  </si>
  <si>
    <t>zu berücksichtigendes sonstiges EK ggf. nach Abzug ungedeckter Bedarf</t>
  </si>
  <si>
    <t>sonstiges EK</t>
  </si>
  <si>
    <t>zu berücksichtigendes Erwerbs-EK ggf. nach Abzug ungedeckter Bedarf</t>
  </si>
  <si>
    <t>ungedeckter Bedarf?</t>
  </si>
  <si>
    <t>Ausschluss + ungedeckter Bedarf?</t>
  </si>
  <si>
    <t>Negativausgleich?</t>
  </si>
  <si>
    <t>bei Studenten :</t>
  </si>
  <si>
    <t>Freibetrag</t>
  </si>
  <si>
    <t>FB Anschaff.</t>
  </si>
  <si>
    <t>abzgl. FB Kind</t>
  </si>
  <si>
    <t>KV/PV (gesetzl.):</t>
  </si>
  <si>
    <t>KV/PV (freiwillig):</t>
  </si>
  <si>
    <t>VWL (lfd.):</t>
  </si>
  <si>
    <t>VWL (EZ):</t>
  </si>
  <si>
    <t>1.1. Bruttoeinkommen des Antragstellers:</t>
  </si>
  <si>
    <t>1.2. Bruttoeinkommen des Partners/der Partnerin:</t>
  </si>
  <si>
    <t>Durchschnittliches Bruttoeinkommen:</t>
  </si>
  <si>
    <t>Kind 13</t>
  </si>
  <si>
    <t>Kind 14</t>
  </si>
  <si>
    <t>Kind 15</t>
  </si>
  <si>
    <t>bedarf nach SGB II</t>
  </si>
  <si>
    <t>bedarf nach § 6a BKGG</t>
  </si>
  <si>
    <t>Einkommen Kind (100%)</t>
  </si>
  <si>
    <t>Einkommen Kind (45%)</t>
  </si>
  <si>
    <t>übertragbares</t>
  </si>
  <si>
    <t>Kindergeldübertrag</t>
  </si>
  <si>
    <t>K13</t>
  </si>
  <si>
    <t>K14</t>
  </si>
  <si>
    <t>K15</t>
  </si>
  <si>
    <t>Gesamtbedarf (SGB II):</t>
  </si>
  <si>
    <t>Kindergeld:</t>
  </si>
  <si>
    <t>Summe Einkommen:</t>
  </si>
  <si>
    <t>anrechenbares Vermögen?</t>
  </si>
  <si>
    <t>Partner/in</t>
  </si>
  <si>
    <t>Gesamtbedarf</t>
  </si>
  <si>
    <t>verbleibender Gesamtbedarf</t>
  </si>
  <si>
    <t>Höchsteinkommensgrenze</t>
  </si>
  <si>
    <t xml:space="preserve">Kinderzuschlag </t>
  </si>
  <si>
    <t>Kinderzuschlag ab Folgemonat</t>
  </si>
  <si>
    <t>Bruttoeinkommen Antragsteller</t>
  </si>
  <si>
    <t>Bruttoeinkommen Partner/in</t>
  </si>
  <si>
    <t>anzurechnendes Erwerbseinkommen AS</t>
  </si>
  <si>
    <t>anzurechnendes Erwerbseinkommen P</t>
  </si>
  <si>
    <t>anzurechnendes anderes Einkommen AS</t>
  </si>
  <si>
    <t>anzurechnendes anderes Einkommen P</t>
  </si>
  <si>
    <t>Summe Erwerbseinkommen</t>
  </si>
  <si>
    <t>Summe anderes Einkommen</t>
  </si>
  <si>
    <t>Summe Bruttoeinkommen</t>
  </si>
  <si>
    <t>ab 2020</t>
  </si>
  <si>
    <t>Bedarf der Eltern (Bemessungsgrenze)</t>
  </si>
  <si>
    <t>zustehender Kinderzuschlag bis 12/19:</t>
  </si>
  <si>
    <t>zustehender Kinderzuschlag ab 01/20:</t>
  </si>
  <si>
    <t>Hinweis: Mehrbedarfe bitte aus der nebenstehenden Tabelle (Seite 3) auswählen.</t>
  </si>
  <si>
    <t>Einkommen/Vermögen</t>
  </si>
  <si>
    <t>Anzahl Eltern</t>
  </si>
  <si>
    <t>berücksichtigte Eltern</t>
  </si>
  <si>
    <t>Kinder in BG</t>
  </si>
  <si>
    <t>berücksichtigte Kopfteile BdU</t>
  </si>
  <si>
    <t>BdU BG:</t>
  </si>
  <si>
    <t>BdU berück.</t>
  </si>
  <si>
    <t>Anzahl ausgeschlossene Eltern</t>
  </si>
  <si>
    <t>Änderungshistorie</t>
  </si>
  <si>
    <t>wann</t>
  </si>
  <si>
    <t>was</t>
  </si>
  <si>
    <t>Korrektur der Nichtberücksichtigung des Kindergeldübertrages auf dem Reiter "Berechnung KiZ" in 9.3 und 9.4</t>
  </si>
  <si>
    <t>Korrektur des Mehrbedarfes dezentrale Warmwasseraufbereitung bei Kind 3 in der Regelbedarfsstufe 4</t>
  </si>
  <si>
    <t>Korrektur des Einkommensübertrages bei wegen Rentenbezugs ausgeschlossenen Personen</t>
  </si>
  <si>
    <t>SB / Erwerbsminderung:</t>
  </si>
  <si>
    <t>Erweiterung Funktionsumfang: Erfassung Mehrbedarfe nach SGB XII für ausgeschlossene Personen</t>
  </si>
  <si>
    <t>Korrektur Wertefehler bei Kind 11 auf Reiter Bedarfe</t>
  </si>
  <si>
    <t>Beginn Selbständigkeit</t>
  </si>
  <si>
    <t>Ende Selbständigkeit</t>
  </si>
  <si>
    <t>9.3. Berechnung des zustehenden Kinderzuschlags:</t>
  </si>
  <si>
    <t>9.4. Prüfung des Anspruchs auf Kinderzuschlag:</t>
  </si>
  <si>
    <t>Erweiterung Funktionsumfang: Erfassung Einkommen aus selbständiger Tätigkeit für Teilzeiträume</t>
  </si>
  <si>
    <t>Korrektur Bedarfsberechnung bei Leistungsausschluss "Aufenthalt"</t>
  </si>
  <si>
    <t>Korrektur Einkommensberechnung beim Zusammentreffen von Einkommen aus Selbständigkeit mit Einmalzahlungen aus abhängiger Beschäftigung</t>
  </si>
  <si>
    <t>Erweiterung Funktionsumfang: Berechnung KiZ ab Januar 2020</t>
  </si>
  <si>
    <t>Korrektur: keine Rundung des "verbleibenden Restbedarfes nach § 6a BKGG" in Tabelle 8.1 auf dem Reiter "Bedarfe"</t>
  </si>
  <si>
    <t>Korrektur: Berechnung Wohnkostenanteile 2020</t>
  </si>
  <si>
    <t>9.6. Drucken:</t>
  </si>
  <si>
    <t>Bitte die Strg-Taste gedrückt halten und die Reiter, welche ausgedruckt werden müssen unten 1x anklicken. Anschließend</t>
  </si>
  <si>
    <t>auf den Button "Druck in eAkte" klicken.</t>
  </si>
  <si>
    <t>AS - nicht ausgeschöpfter Freibetrag</t>
  </si>
  <si>
    <t>Monat 1</t>
  </si>
  <si>
    <t>Monat 2</t>
  </si>
  <si>
    <t>Monat 3</t>
  </si>
  <si>
    <t>Monat 4</t>
  </si>
  <si>
    <t>Monat 5</t>
  </si>
  <si>
    <t>Monat 6</t>
  </si>
  <si>
    <t>EP - nicht ausgeschöpfter Freibetrag</t>
  </si>
  <si>
    <t>Summe AS + EP</t>
  </si>
  <si>
    <t>Korrektur: Bei manueller Abänderung des Mehrbedarfes für Alleinerziehung wird der automatisch vorbelegte Betrag auf 0,00 € gesetzt und nicht mehr berücksichtigt.</t>
  </si>
  <si>
    <t>Korrektur: Feld E75 auf Reiter "KiZ ab Jan. 2020" ist beschreibbar</t>
  </si>
  <si>
    <t>Erweiterung Funktionsumfang: Unterstützung der Prüfung des erweiterten Zugangs auf dem Reiter „KiZ ab Jan 2020“</t>
  </si>
  <si>
    <t>Korrektur: Mehrbedarf Schwangerschaft wird übernommen ab Berechnungsmonat Januar 2020</t>
  </si>
  <si>
    <t>Korrektur: Bei der Berechnung Tage für die Fahrtkosten (Werbungskosten) wurde eine Rundung ergänzt.</t>
  </si>
  <si>
    <t>Beginn 13. SSW</t>
  </si>
  <si>
    <t>Korrektur: Das Feld "Anspruchstage" beim Mehrbedarf Schwangerschaft wurde entfernt und durch die Anzeige des Beginns der 13. Schwangerschaftswoche ersetzt.</t>
  </si>
  <si>
    <t>Korrektur: Der Mehrbedarf für dezentrale Warmwasserversorgung beim Antragsteller wurde für 2020 korrigiert.</t>
  </si>
  <si>
    <t>Ablehnung ab 01.2020
"Hilfebedürftigkeit wird nicht vermieden"</t>
  </si>
  <si>
    <t>Ablehnung ab 01.2020
"Erweiterter Zugang nicht möglich"</t>
  </si>
  <si>
    <t>Mindesteinkommensgrenze</t>
  </si>
  <si>
    <t>Höhe Freibetrag</t>
  </si>
  <si>
    <t>Verbleibender Gesamtbedarf</t>
  </si>
  <si>
    <t>Zu berücksichtigendes Einkommen</t>
  </si>
  <si>
    <t>Errechneter KIZ</t>
  </si>
  <si>
    <t>EK + Vermögen der Kinder</t>
  </si>
  <si>
    <t>Gesamte Regelbedarfe</t>
  </si>
  <si>
    <t>Wohnkosten</t>
  </si>
  <si>
    <t>Ungedeckter Restbedarf</t>
  </si>
  <si>
    <t>Wohngeld</t>
  </si>
  <si>
    <t>Ablehnung ab 01.2020
"EK+Vermögen übersteigt den Gesamt-KiZ"</t>
  </si>
  <si>
    <t>Zu berücksichtigendes EK</t>
  </si>
  <si>
    <t>EK über der Bemessungsgrenze</t>
  </si>
  <si>
    <t>Gesamtbedarf der Eltern</t>
  </si>
  <si>
    <t>Regelbedarf der Eltern</t>
  </si>
  <si>
    <t>Anteilige Wohnkosten der Eltern</t>
  </si>
  <si>
    <t>Erweiterung: Für die Ablehnungen durch den Kiz-31 wurde eine Übersichtsseite mit den erforderlichen Daten eingefügt</t>
  </si>
  <si>
    <t>Regelbedarfe der Eltern (incl. Mehrbedarf)</t>
  </si>
  <si>
    <t>Vermögen der Eltern</t>
  </si>
  <si>
    <t>Korrektur: Summenbildung Betriebsausgaben auf Reiter AS und EP</t>
  </si>
  <si>
    <t>Ende</t>
  </si>
  <si>
    <t>Beginn</t>
  </si>
  <si>
    <t>Regelbedarfssätze</t>
  </si>
  <si>
    <t>Kind bis 5</t>
  </si>
  <si>
    <t>Kind 6 - 13</t>
  </si>
  <si>
    <t>Kind 14-17</t>
  </si>
  <si>
    <t>Kind 18-24</t>
  </si>
  <si>
    <t>KIZ-Höhe</t>
  </si>
  <si>
    <t xml:space="preserve">Erweiterung: Es wurden die Regelbedarfswerte 2021 sowie der auf 205,00 € erhöhte KIZ ab Januar 2021 aufgenommen. </t>
  </si>
  <si>
    <t>Korrektur: Unterhaltszahlungen konnten beim AS oder EP zu einem negativen Ergebnis führen. Dies wurde korrigiert.</t>
  </si>
  <si>
    <t>Korrektur: Kinder von 18 Jahren lösten noch den erhöhten Grundfreibetrag beim AS und EP aus. Dies wurde korrigiert.</t>
  </si>
  <si>
    <t>Anpassung: Die Festlegung des Bemessungszeitraumes der BdU bei Eigenheim wurde für 2021 angepasst.</t>
  </si>
  <si>
    <r>
      <t xml:space="preserve">RV </t>
    </r>
    <r>
      <rPr>
        <sz val="10"/>
        <rFont val="Arial"/>
        <family val="2"/>
      </rPr>
      <t>(bei Befreiung RV-Pflicht):</t>
    </r>
  </si>
  <si>
    <t>Anzahl Leistungsausschlüsse der Eltern</t>
  </si>
  <si>
    <t>KiZ-Berechnung?</t>
  </si>
  <si>
    <t>Korrektur: Berechnung des elterlichen Gesamtbedarfes bei zwei ausgeschlossenen Elternteilen</t>
  </si>
  <si>
    <t>Ergänzung: Kann keine BG begründet werden, wird dies auf dem Reiter BG bereits angezeigt</t>
  </si>
  <si>
    <t>für Minderung Gesamt-KiZ</t>
  </si>
  <si>
    <t>für Vergleichsberechnung</t>
  </si>
  <si>
    <t>Kindergeldübertrag
für Minderung Gesamt-KiZ</t>
  </si>
  <si>
    <t>Kindergeldübertrag 
für Vergleichsberechnung</t>
  </si>
  <si>
    <t>Kindergeldübertrag
für Vergleichsberechnung</t>
  </si>
  <si>
    <t>8.2 verbleibender Gesamtbedarf für Minderung Gesamt-KiZ</t>
  </si>
  <si>
    <t>8.3 verbleibender Gesamtbedarf für Vergleichsberechnung</t>
  </si>
  <si>
    <t>Änderung: Ermittlung Kindergeldübertrag für Minderung Gesamt-KiZ nach BKGG-Berechnungsweise, für Vergleichsberechnung mit Hilfebedürftigkeit nach SGB II nach SGB II-Berechnungsweise (farbliche Kennzeichnung)</t>
  </si>
  <si>
    <t>Korrektur: Rundungsfehler bei der Anrechnung von Kindeseinkommen</t>
  </si>
  <si>
    <t>Korrektur: Berechnung Alter des Kindes für Abzug Versicherungspauschale von sonstigem Einkommen</t>
  </si>
  <si>
    <t>Korrektur: Ermittlung des BMZ bei BdU Eigentum</t>
  </si>
  <si>
    <t>Korrektur: Zellbezugsfehler auf Reiter "KiZ ab Jan 2020" ab Kind 12</t>
  </si>
  <si>
    <t>Kinder Ü18 ohne KG</t>
  </si>
  <si>
    <t>Korrektur: nicht ausgeschöpfter Freibetrag für EZ (Zeile 103) für K2 bis K4 korrigiert</t>
  </si>
  <si>
    <t>Korrektur: Die Berechnung der Kinderanzahl für den Elternanteil der BdU nach dem Existenzminimumbericht wurde um Kinder ab 18 ohne KG-Bezug korrigiert (vgl. DA C.3.1.2. (4))</t>
  </si>
  <si>
    <t>Einmalzahlung UH + UVG</t>
  </si>
  <si>
    <t>Unterhalt</t>
  </si>
  <si>
    <t>UVG</t>
  </si>
  <si>
    <t>Unterhalt Kinder für MEG</t>
  </si>
  <si>
    <t xml:space="preserve">Ergänzung: Trennung Unterhalt und UVG auf Reiter K1 - K15 zur Berücksichtigung des Unterhalts bei Zusammentreffen mit Unterhalt für Elternteil bei der MEG (vgl. DA C.1 Abs. 2, Satz 2, 7. Anstrich) </t>
  </si>
  <si>
    <t>Korrektur: Berechnung Einkommensübertrag bei Partner mit Leistungsausschluss</t>
  </si>
  <si>
    <t>bitte auswählen</t>
  </si>
  <si>
    <t>Korrektur: Rundungsfehler bei der Ermittlung des Mehrbedarfs wegen dezentraler Warmwasserversorgung</t>
  </si>
  <si>
    <t>anzurechendes Vermögen der Eltern:</t>
  </si>
  <si>
    <t>Gesamteinkommen</t>
  </si>
  <si>
    <t>zustehender Gesamtkinderzuschlag vor Anrechnung Vermögen der Eltern:</t>
  </si>
  <si>
    <t>Durchschnittliches Bruttoeinkommen für die MEG</t>
  </si>
  <si>
    <t>BdU monatlich</t>
  </si>
  <si>
    <t>sonstiges Einkommen</t>
  </si>
  <si>
    <t>Anzahl Personen in der Haushaltsgemeinschaft</t>
  </si>
  <si>
    <t>45 %-Wert des Kindeseinkommens</t>
  </si>
  <si>
    <t>dezentrale Warmwasser- aufbereitung?</t>
  </si>
  <si>
    <t>BdU aus Kurzantrag</t>
  </si>
  <si>
    <t>ungedeckter Bedarf o. MB</t>
  </si>
  <si>
    <t>Patchworkberechnung</t>
  </si>
  <si>
    <t>1.1 Ermittlung des höchstmöglichen Kinderzuschlages</t>
  </si>
  <si>
    <t>Kind</t>
  </si>
  <si>
    <t>ungeminderter KiZ</t>
  </si>
  <si>
    <t>Einkommen des Kindes</t>
  </si>
  <si>
    <t>Vermögen des Kindes</t>
  </si>
  <si>
    <t>verbleibender KiZ</t>
  </si>
  <si>
    <t>1.2 Einzelkinderzuschläge</t>
  </si>
  <si>
    <t>Einzelkinderzuschlag</t>
  </si>
  <si>
    <t>KG-Berechtigter</t>
  </si>
  <si>
    <t>%-Anteil am Gesamt-KiZ</t>
  </si>
  <si>
    <t>1.3 Summe der Einzelkinderzuschläge (Gesamtkinderzuschlag)</t>
  </si>
  <si>
    <t>1.4 Minderung des Gesamtkinderzuschlages durch Einkommen und Vermögen der Eltern</t>
  </si>
  <si>
    <t>1.5 Der um Elterneinkommen geminderte, ungerundete Gesamtkinderzuschlag beträgt somit</t>
  </si>
  <si>
    <t>1.6 Der gem. § 11 Abs. 2 BKGG auf volle Euro gerundete Kinderzuschlag beträgt</t>
  </si>
  <si>
    <t>2. Verteilung des Minderungsbetrages auf die Kinder gemäß Ihrem prozentualen Anteil am Gesamtkinderzuschlag</t>
  </si>
  <si>
    <t>Anteil Minderungsbetrag ungerundet (€)</t>
  </si>
  <si>
    <t>3. Verbleibende Einzelkinderzuschläge nach Minderung</t>
  </si>
  <si>
    <t>Einzelkinderzuschlag nach Minderung (ungerundet)</t>
  </si>
  <si>
    <t>Einzelkinderzuschlag nach Minderung (gerundet)</t>
  </si>
  <si>
    <t>In einigen Fällen kann es dazu kommen, dass der Gesamtkinderzuschlag nach der prozentualen Verteilung auf die einzelnen Kinder und anschließender Rundung bei jedem einzelnen Kind nicht mehr dem vorher errechneten zustehenden Kinderzuschlag entspricht, d.h. dass das Berechnungsergebnis vom tatsächlich auszuzahlenden Kinderzuschlag abweichen würde. Es kann sich sowohl eine positive als auch eine negative Differenz zum zustehenden Kinderzuschlag ergeben.</t>
  </si>
  <si>
    <t>In Patchworkfällen ist zusätzlich der an jeden Elternteil auszuzahlende Kinderzuschlag zu ermitteln. Hierzu sind die unter Punkt 3. ermittelten Einzelkinderzuschläge beim jeweils kindergeldberechtigten Elternteil zu summieren</t>
  </si>
  <si>
    <t>4. KiZ pro Elternteil</t>
  </si>
  <si>
    <t>ungerundet</t>
  </si>
  <si>
    <t>gerundet</t>
  </si>
  <si>
    <t>Um diese Rundungsdifferenz auszugleichen wird nach der Berechnung der ungerundeten Einzelkinderzuschläge und Summierung beim jeweiligen Elternteil eine Rundung bezogen auf die Nachkommabeträge vorgenommen. Der Höhere der beiden Nachkommabeträge würde auf- und der Niedrigere abgerundet werden.</t>
  </si>
  <si>
    <t>Kiz ab Folgemonat</t>
  </si>
  <si>
    <t>Folgemonat</t>
  </si>
  <si>
    <t>Folgemonat:</t>
  </si>
  <si>
    <t>EinzelKiz</t>
  </si>
  <si>
    <t>Anteil Minderungsbetrag Folgemonat</t>
  </si>
  <si>
    <t>%Anteil</t>
  </si>
  <si>
    <t>(ohne Vermögen der Eltern)</t>
  </si>
  <si>
    <t>Ergänzung: Es kann unter dem Reiter Patchwork, der KiZ-Anteil je Kind berechnet werden.</t>
  </si>
  <si>
    <t>Ergänzung: Es besteht über den Reiter Kurzantrag die Möglichkeit die Einkommens - und BdU-Werte aus der vorherigen Berechnung zu übernehmen und so die Berechnung abzukürzen. Die Werte aus dem Reiter Kurzantrag werden vorrangig bedient!</t>
  </si>
  <si>
    <t xml:space="preserve">Korrektur: Einkommensumverteilung bei verheirateten Studentenpaaren </t>
  </si>
  <si>
    <t>Korrektur: Prüfung der Zugehörigkeit zur BG der Kinder 10-15</t>
  </si>
  <si>
    <t>Korrektur: Kommentarfeld zu Verpflegungsmehraufwand aktualisiert</t>
  </si>
  <si>
    <t>Korrektur: Es werden die korrekten Regelbedarfssätze gebildet, wenn ein Elternteil minderjährig ist.</t>
  </si>
  <si>
    <t>Ergänzung: Es wird ein Hinweistext bei den Mehrbedarfen eingeblendet, wenn anteiliger Regelbedarf bei einem Kind eingegeben wird.</t>
  </si>
  <si>
    <t>anderes Einkommen ohne Vermögen :</t>
  </si>
  <si>
    <t>Korrektur: Kindergeldübertrag bei Kindern mit bedarfsdeckendem Einkommen</t>
  </si>
  <si>
    <t>Änderung: Neue Berechnungslogik bei der Deckung des elterlichen Gesamtbedarfes: Vermögen der Eltern wird nicht mehr zur Deckung des elterlichen Gesamtbedarfs berücksichtigt. Siehe Erläuterung der Berücksichtigung von Vermögen.</t>
  </si>
  <si>
    <t>Korrektur: Die Auswertung der dezentralen Warmwasseraufbereitung beim Antragsteller wurde korrigiert.</t>
  </si>
  <si>
    <t>Korrektur: Anzeige sonstiges Einkommen im Reiter Zusammenfassung bei KG-Übertrag</t>
  </si>
  <si>
    <t>Korrektur: Freibeträge Kind 1</t>
  </si>
  <si>
    <t>Änderung: Der Mehrbedarf für kostenaufwändige Ernährung wurde auf zu erwartende Änderungen vorbereitet.</t>
  </si>
  <si>
    <t>für BdU?</t>
  </si>
  <si>
    <t>Korrektur: Die Berechnung der Kinderanzahl für den Elternanteil der BdU nach dem Existenzminimumbericht wurde um Kinder ab 18 ohne KG-Bezug korrigiert (vgl. DA C.3.1.2. (4)) unter Beachtung, dass diese auch mit eigenen Einkommen den eigenen Bedarf decken können.</t>
  </si>
  <si>
    <t>Änderung: Seitenlayout zum Drucken wurde angepasst und Kopfzeilen wieder eingepflegt.</t>
  </si>
  <si>
    <t>Änderung: Sofern Alleinerziehung vorliegt und kein Mehrbedarf ausgewählt wurde, wird die betreffende Zelle rot markiert.</t>
  </si>
  <si>
    <t>Änderung: Bei Kurzantrag wird nun auch der erweiterte Zugang erfragt.</t>
  </si>
  <si>
    <t xml:space="preserve">Erweiterung: Es wurden die Regelbedarfswerte 2022 sowie der auf 209,00 € erhöhte KIZ ab Januar 2022 aufgenommen. </t>
  </si>
  <si>
    <t>Korrektur: Zellverweis Reiter "Berechnung KiZ" (2019)</t>
  </si>
  <si>
    <t>Korrektur: Einkommen für Vergleichsberechnung SGB II ohne Binnenausgleich bei verheirateten Studierenden</t>
  </si>
  <si>
    <t>Korrektur: Berechnung anteilige Wohnkosten unter Berücksichtigung Kinder Ü18 ohne KG, DA-KiZ C.3.1.2 Absatz 4</t>
  </si>
  <si>
    <t>ausgeschlossener Bedarf Sudenten</t>
  </si>
  <si>
    <t>Korrektur: Reiter Datenblatt: Berechnung des anzurechnenden Einkommens bei Leistungsausschluss "Student" und Berücksichtigung Mehrbedarfe</t>
  </si>
  <si>
    <t>Sofortzuschlag</t>
  </si>
  <si>
    <t>Ergänzung: Berücksichtigung Sofortzuschlag in Höhe von 20 € ab 01.07.2022</t>
  </si>
  <si>
    <t>Regelbedarfe 2019 - 2025</t>
  </si>
  <si>
    <t>Ergänzung: Regelbedarfe und KiZ-Höchstbetrag ab 01.01.2023</t>
  </si>
  <si>
    <t>Azubi/Schüler?</t>
  </si>
  <si>
    <t>Grundstufe</t>
  </si>
  <si>
    <t>Änderung: Berechnung des Einkommens wurde an die neuen Freibeträge für das Bürgergeld angepasst. Der erhöht Grundfreibetrag für Einkommen von Schülern wurde eingefügt. Hierfür wurde das bisherige Feld "Ausbildung?" beim Erwerbseinkommen in "Schüler/Azubi?" umbenannt und löst jetzt den erhöhten Grundfreibetrag von bis zu 520,00 Euro aus.</t>
  </si>
  <si>
    <t>Grundfreibetrag Schülereinkommen</t>
  </si>
  <si>
    <t>Berechnungsjahr</t>
  </si>
  <si>
    <t>Jahr</t>
  </si>
  <si>
    <t>Alleinst.</t>
  </si>
  <si>
    <t>Kind 6-13</t>
  </si>
  <si>
    <t>Kalenderjahr</t>
  </si>
  <si>
    <t>BMZ 1</t>
  </si>
  <si>
    <t>BMZ 2</t>
  </si>
  <si>
    <t>BMZ 3</t>
  </si>
  <si>
    <t>BMZ 4</t>
  </si>
  <si>
    <t>BMZ 5</t>
  </si>
  <si>
    <t>BMZ 6</t>
  </si>
  <si>
    <t>KJ BMZ 1</t>
  </si>
  <si>
    <t>KJ BMZ 2</t>
  </si>
  <si>
    <t>KJ BMZ 3</t>
  </si>
  <si>
    <t>KJ BMZ 4</t>
  </si>
  <si>
    <t>KJ BMZ 5</t>
  </si>
  <si>
    <t>KJ BMZ 6</t>
  </si>
  <si>
    <t>Ber. Monat</t>
  </si>
  <si>
    <t>Ermittlung Kalenderjahr der Monate im BMZ</t>
  </si>
  <si>
    <t>Änderung: Anpassung des KG-Betrages für 2025 auf 255 Euro, Änderung: Anpassung des KiZ-Höchstbetrages für 2025 auf 297,00 €; Anpassung des Grundfreibetrags ab 2025 auf 556,00 €</t>
  </si>
  <si>
    <t>Anpassung des KiZ-Höchstbetrages für 2024 auf 292,00 €; Anpassung der Regelbedarfe ab 2024; Anpassung des Freibetrages bei Schülereinkommen; Umstellung von Formeln auf dem Datenblatt auf SVERWEIS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</si>
</sst>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44" formatCode="_-* #,##0.00\ &quot;€&quot;_-;\-* #,##0.00\ &quot;€&quot;_-;_-* &quot;-&quot;??\ &quot;€&quot;_-;_-@_-"/>
    <numFmt numFmtId="43" formatCode="_-* #,##0.00\ _€_-;\-* #,##0.00\ _€_-;_-* &quot;-&quot;??\ _€_-;_-@_-"/>
    <numFmt numFmtId="164" formatCode="[$-407]mmm/\ yy;@"/>
    <numFmt numFmtId="165" formatCode="#,##0.00\ &quot;€&quot;"/>
    <numFmt numFmtId="166" formatCode="d/m/yy;@"/>
    <numFmt numFmtId="167" formatCode="#,##0.00\ _€"/>
  </numFmts>
  <fonts count="38" x14ac:knownFonts="1">
    <font>
      <sz val="11"/>
      <color theme="1"/>
      <name val="Arial"/>
      <family val="2"/>
    </font>
    <font>
      <b/>
      <sz val="11"/>
      <color theme="1"/>
      <name val="Arial"/>
      <family val="2"/>
    </font>
    <font>
      <sz val="11"/>
      <color theme="0"/>
      <name val="Arial"/>
      <family val="2"/>
    </font>
    <font>
      <i/>
      <sz val="10"/>
      <color theme="1"/>
      <name val="Arial"/>
      <family val="2"/>
    </font>
    <font>
      <b/>
      <u/>
      <sz val="11"/>
      <color theme="1"/>
      <name val="Arial"/>
      <family val="2"/>
    </font>
    <font>
      <sz val="9"/>
      <color theme="1"/>
      <name val="Arial"/>
      <family val="2"/>
    </font>
    <font>
      <sz val="10"/>
      <color theme="1"/>
      <name val="Arial"/>
      <family val="2"/>
    </font>
    <font>
      <b/>
      <sz val="9"/>
      <color indexed="81"/>
      <name val="Segoe UI"/>
      <family val="2"/>
    </font>
    <font>
      <sz val="9"/>
      <color indexed="81"/>
      <name val="Segoe UI"/>
      <family val="2"/>
    </font>
    <font>
      <b/>
      <sz val="10"/>
      <color theme="1"/>
      <name val="Arial"/>
      <family val="2"/>
    </font>
    <font>
      <i/>
      <sz val="11"/>
      <color theme="1"/>
      <name val="Arial"/>
      <family val="2"/>
    </font>
    <font>
      <i/>
      <sz val="11"/>
      <color theme="0"/>
      <name val="Arial"/>
      <family val="2"/>
    </font>
    <font>
      <i/>
      <sz val="9"/>
      <color theme="1"/>
      <name val="Arial"/>
      <family val="2"/>
    </font>
    <font>
      <sz val="11"/>
      <color rgb="FFFF0000"/>
      <name val="Arial"/>
      <family val="2"/>
    </font>
    <font>
      <b/>
      <i/>
      <sz val="10"/>
      <color theme="1"/>
      <name val="Arial"/>
      <family val="2"/>
    </font>
    <font>
      <sz val="8"/>
      <color theme="1"/>
      <name val="Arial"/>
      <family val="2"/>
    </font>
    <font>
      <sz val="10"/>
      <color rgb="FFFF0000"/>
      <name val="Arial"/>
      <family val="2"/>
    </font>
    <font>
      <sz val="10"/>
      <color theme="0"/>
      <name val="Arial"/>
      <family val="2"/>
    </font>
    <font>
      <sz val="11"/>
      <color rgb="FF000000"/>
      <name val="Arial"/>
      <family val="2"/>
    </font>
    <font>
      <sz val="11"/>
      <name val="Arial"/>
      <family val="2"/>
    </font>
    <font>
      <b/>
      <sz val="11"/>
      <name val="Arial"/>
      <family val="2"/>
    </font>
    <font>
      <sz val="10"/>
      <name val="Arial"/>
      <family val="2"/>
    </font>
    <font>
      <i/>
      <sz val="10"/>
      <name val="Arial"/>
      <family val="2"/>
    </font>
    <font>
      <b/>
      <u/>
      <sz val="11"/>
      <name val="Arial"/>
      <family val="2"/>
    </font>
    <font>
      <sz val="9"/>
      <name val="Arial"/>
      <family val="2"/>
    </font>
    <font>
      <b/>
      <sz val="10"/>
      <name val="Arial"/>
      <family val="2"/>
    </font>
    <font>
      <i/>
      <sz val="11"/>
      <name val="Arial"/>
      <family val="2"/>
    </font>
    <font>
      <b/>
      <u val="double"/>
      <sz val="11"/>
      <name val="Arial"/>
      <family val="2"/>
    </font>
    <font>
      <i/>
      <sz val="9"/>
      <name val="Arial"/>
      <family val="2"/>
    </font>
    <font>
      <b/>
      <i/>
      <sz val="10"/>
      <name val="Arial"/>
      <family val="2"/>
    </font>
    <font>
      <sz val="8"/>
      <name val="Arial"/>
      <family val="2"/>
    </font>
    <font>
      <i/>
      <sz val="10"/>
      <color theme="0"/>
      <name val="Arial"/>
      <family val="2"/>
    </font>
    <font>
      <b/>
      <sz val="9"/>
      <color theme="1"/>
      <name val="Arial"/>
      <family val="2"/>
    </font>
    <font>
      <sz val="11"/>
      <color theme="9" tint="0.59999389629810485"/>
      <name val="Arial"/>
      <family val="2"/>
    </font>
    <font>
      <b/>
      <u/>
      <sz val="11"/>
      <color theme="1"/>
      <name val="Calibri"/>
      <family val="2"/>
      <scheme val="minor"/>
    </font>
    <font>
      <b/>
      <sz val="11"/>
      <color theme="1"/>
      <name val="Calibri"/>
      <family val="2"/>
      <scheme val="minor"/>
    </font>
    <font>
      <b/>
      <i/>
      <sz val="11"/>
      <name val="Arial"/>
      <family val="2"/>
    </font>
    <font>
      <u/>
      <sz val="8"/>
      <name val="Arial"/>
      <family val="2"/>
    </font>
  </fonts>
  <fills count="12">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CC"/>
        <bgColor indexed="64"/>
      </patternFill>
    </fill>
    <fill>
      <patternFill patternType="solid">
        <fgColor rgb="FFFFC000"/>
        <bgColor indexed="64"/>
      </patternFill>
    </fill>
  </fills>
  <borders count="9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0" tint="-0.14999847407452621"/>
      </left>
      <right/>
      <top/>
      <bottom style="thin">
        <color theme="0" tint="-0.1499984740745262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306">
    <xf numFmtId="0" fontId="0" fillId="0" borderId="0" xfId="0"/>
    <xf numFmtId="0" fontId="0" fillId="0" borderId="0" xfId="0" applyProtection="1">
      <protection locked="0"/>
    </xf>
    <xf numFmtId="0" fontId="0" fillId="0" borderId="0" xfId="0" applyProtection="1"/>
    <xf numFmtId="0" fontId="0" fillId="0" borderId="1" xfId="0" applyBorder="1"/>
    <xf numFmtId="0" fontId="0" fillId="0" borderId="3" xfId="0" applyBorder="1"/>
    <xf numFmtId="0" fontId="1" fillId="0" borderId="1" xfId="0" applyFont="1" applyBorder="1"/>
    <xf numFmtId="0" fontId="4" fillId="0" borderId="0" xfId="0" applyFont="1"/>
    <xf numFmtId="0" fontId="0" fillId="0" borderId="5" xfId="0" applyBorder="1"/>
    <xf numFmtId="0" fontId="0" fillId="0" borderId="6" xfId="0" applyBorder="1" applyAlignment="1">
      <alignment horizontal="right"/>
    </xf>
    <xf numFmtId="0" fontId="0" fillId="0" borderId="6" xfId="0" applyBorder="1"/>
    <xf numFmtId="0" fontId="0" fillId="0" borderId="6" xfId="0" applyFill="1" applyBorder="1" applyAlignment="1">
      <alignment horizontal="right"/>
    </xf>
    <xf numFmtId="164" fontId="0" fillId="0" borderId="4" xfId="0" applyNumberFormat="1" applyBorder="1"/>
    <xf numFmtId="165" fontId="0" fillId="0" borderId="4" xfId="0" applyNumberFormat="1" applyBorder="1"/>
    <xf numFmtId="165" fontId="0" fillId="0" borderId="7" xfId="0" applyNumberFormat="1" applyBorder="1"/>
    <xf numFmtId="0" fontId="0" fillId="0" borderId="0" xfId="0" applyBorder="1"/>
    <xf numFmtId="165" fontId="0" fillId="0" borderId="0" xfId="0" applyNumberFormat="1"/>
    <xf numFmtId="165" fontId="0" fillId="0" borderId="5" xfId="0" applyNumberFormat="1" applyBorder="1"/>
    <xf numFmtId="165" fontId="0" fillId="0" borderId="0" xfId="0" applyNumberFormat="1" applyBorder="1"/>
    <xf numFmtId="0" fontId="0" fillId="0" borderId="7" xfId="0" applyBorder="1"/>
    <xf numFmtId="0" fontId="0" fillId="0" borderId="4" xfId="0" applyFill="1"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1" fillId="0" borderId="0" xfId="0" applyFont="1"/>
    <xf numFmtId="0" fontId="0" fillId="0" borderId="4" xfId="0" applyBorder="1"/>
    <xf numFmtId="49" fontId="0" fillId="0" borderId="0" xfId="0" applyNumberFormat="1"/>
    <xf numFmtId="0" fontId="0" fillId="0" borderId="4" xfId="0" applyBorder="1" applyAlignment="1">
      <alignment horizontal="right"/>
    </xf>
    <xf numFmtId="0" fontId="0" fillId="0" borderId="5" xfId="0" applyFill="1" applyBorder="1" applyAlignment="1">
      <alignment horizontal="right"/>
    </xf>
    <xf numFmtId="0" fontId="0" fillId="0" borderId="7" xfId="0" applyBorder="1" applyAlignment="1">
      <alignment horizontal="right"/>
    </xf>
    <xf numFmtId="0" fontId="0" fillId="0" borderId="5" xfId="0" applyBorder="1" applyAlignment="1">
      <alignment horizontal="right"/>
    </xf>
    <xf numFmtId="165" fontId="0" fillId="0" borderId="26" xfId="0" applyNumberFormat="1" applyBorder="1"/>
    <xf numFmtId="165" fontId="0" fillId="0" borderId="6" xfId="0" applyNumberFormat="1" applyBorder="1" applyAlignment="1">
      <alignment horizontal="right"/>
    </xf>
    <xf numFmtId="0" fontId="0" fillId="0" borderId="4" xfId="0" applyFill="1" applyBorder="1" applyAlignment="1">
      <alignment horizontal="right"/>
    </xf>
    <xf numFmtId="0" fontId="0" fillId="0" borderId="4" xfId="0" applyBorder="1" applyAlignment="1">
      <alignment horizontal="right"/>
    </xf>
    <xf numFmtId="0" fontId="6" fillId="0" borderId="4" xfId="0" applyFont="1" applyBorder="1" applyAlignment="1">
      <alignment horizontal="right"/>
    </xf>
    <xf numFmtId="166" fontId="0" fillId="0" borderId="7" xfId="0" applyNumberFormat="1" applyFont="1" applyBorder="1"/>
    <xf numFmtId="0" fontId="0" fillId="0" borderId="2" xfId="0" applyBorder="1"/>
    <xf numFmtId="0" fontId="0" fillId="0" borderId="22" xfId="0" applyBorder="1"/>
    <xf numFmtId="0" fontId="0" fillId="0" borderId="23" xfId="0" applyBorder="1"/>
    <xf numFmtId="0" fontId="0" fillId="0" borderId="24" xfId="0" applyBorder="1"/>
    <xf numFmtId="0" fontId="0" fillId="0" borderId="25" xfId="0" applyBorder="1"/>
    <xf numFmtId="0" fontId="1" fillId="0" borderId="40" xfId="0" applyFont="1" applyBorder="1"/>
    <xf numFmtId="0" fontId="1" fillId="0" borderId="41" xfId="0" applyFont="1" applyBorder="1"/>
    <xf numFmtId="0" fontId="1" fillId="0" borderId="42" xfId="0" applyFont="1" applyBorder="1"/>
    <xf numFmtId="0" fontId="0" fillId="0" borderId="43" xfId="0" applyBorder="1"/>
    <xf numFmtId="165" fontId="0" fillId="0" borderId="44" xfId="0" applyNumberFormat="1" applyBorder="1"/>
    <xf numFmtId="14" fontId="0" fillId="0" borderId="4" xfId="0" applyNumberFormat="1" applyBorder="1"/>
    <xf numFmtId="0" fontId="0" fillId="0" borderId="4" xfId="0" applyFill="1" applyBorder="1" applyAlignment="1">
      <alignment horizontal="right"/>
    </xf>
    <xf numFmtId="0" fontId="0" fillId="0" borderId="5" xfId="0" applyBorder="1" applyAlignment="1">
      <alignment horizontal="right"/>
    </xf>
    <xf numFmtId="0" fontId="0" fillId="0" borderId="4" xfId="0" applyBorder="1" applyAlignment="1">
      <alignment horizontal="right"/>
    </xf>
    <xf numFmtId="165" fontId="0" fillId="0" borderId="4" xfId="0" applyNumberFormat="1" applyBorder="1" applyAlignment="1">
      <alignment horizontal="right"/>
    </xf>
    <xf numFmtId="0" fontId="0" fillId="0" borderId="0" xfId="0" applyAlignment="1">
      <alignment horizontal="right"/>
    </xf>
    <xf numFmtId="0" fontId="0" fillId="0" borderId="4" xfId="0" applyFill="1" applyBorder="1"/>
    <xf numFmtId="165" fontId="0" fillId="0" borderId="6" xfId="0" applyNumberFormat="1" applyFont="1" applyBorder="1" applyAlignment="1">
      <alignment horizontal="right"/>
    </xf>
    <xf numFmtId="0" fontId="0" fillId="0" borderId="0" xfId="0" applyAlignment="1"/>
    <xf numFmtId="0" fontId="0" fillId="0" borderId="45" xfId="0" applyBorder="1" applyAlignment="1">
      <alignment horizontal="right"/>
    </xf>
    <xf numFmtId="0" fontId="6" fillId="0" borderId="0" xfId="0" applyNumberFormat="1" applyFont="1" applyFill="1" applyBorder="1" applyAlignment="1">
      <alignment horizontal="right"/>
    </xf>
    <xf numFmtId="1" fontId="0" fillId="0" borderId="4" xfId="0" applyNumberFormat="1" applyBorder="1"/>
    <xf numFmtId="0" fontId="0" fillId="0" borderId="4" xfId="0" applyBorder="1" applyAlignment="1">
      <alignment horizontal="center"/>
    </xf>
    <xf numFmtId="10" fontId="0" fillId="0" borderId="4" xfId="0" applyNumberFormat="1" applyBorder="1"/>
    <xf numFmtId="0" fontId="0" fillId="0" borderId="0" xfId="0" applyBorder="1" applyProtection="1"/>
    <xf numFmtId="0" fontId="0" fillId="0" borderId="11" xfId="0" applyBorder="1" applyProtection="1"/>
    <xf numFmtId="1" fontId="0" fillId="0" borderId="4" xfId="0" applyNumberFormat="1" applyBorder="1" applyProtection="1"/>
    <xf numFmtId="165" fontId="0" fillId="2" borderId="8" xfId="0" applyNumberFormat="1" applyFill="1" applyBorder="1" applyProtection="1">
      <protection locked="0"/>
    </xf>
    <xf numFmtId="165" fontId="0" fillId="2" borderId="9" xfId="0" applyNumberFormat="1" applyFill="1" applyBorder="1" applyProtection="1">
      <protection locked="0"/>
    </xf>
    <xf numFmtId="0" fontId="0" fillId="0" borderId="0" xfId="0" applyFill="1" applyBorder="1" applyProtection="1">
      <protection locked="0"/>
    </xf>
    <xf numFmtId="0" fontId="4" fillId="0" borderId="0" xfId="0" applyFont="1" applyProtection="1"/>
    <xf numFmtId="164" fontId="1" fillId="0" borderId="4" xfId="0" applyNumberFormat="1" applyFont="1" applyBorder="1" applyProtection="1"/>
    <xf numFmtId="0" fontId="0" fillId="0" borderId="0" xfId="0" applyFill="1" applyBorder="1" applyProtection="1"/>
    <xf numFmtId="165" fontId="0" fillId="0" borderId="4" xfId="0" applyNumberFormat="1" applyBorder="1" applyProtection="1"/>
    <xf numFmtId="165" fontId="0" fillId="2" borderId="8" xfId="0" applyNumberFormat="1" applyFill="1" applyBorder="1" applyAlignment="1" applyProtection="1">
      <alignment horizontal="right" vertical="center"/>
      <protection locked="0"/>
    </xf>
    <xf numFmtId="165" fontId="0" fillId="2" borderId="9" xfId="0" applyNumberFormat="1" applyFill="1" applyBorder="1" applyAlignment="1" applyProtection="1">
      <alignment horizontal="right" vertical="center"/>
      <protection locked="0"/>
    </xf>
    <xf numFmtId="165" fontId="0" fillId="2" borderId="5" xfId="0" applyNumberFormat="1" applyFill="1" applyBorder="1" applyAlignment="1" applyProtection="1">
      <alignment horizontal="right" vertical="center"/>
      <protection locked="0"/>
    </xf>
    <xf numFmtId="165" fontId="0" fillId="2" borderId="4" xfId="0" applyNumberFormat="1" applyFill="1" applyBorder="1" applyAlignment="1" applyProtection="1">
      <alignment horizontal="right" vertical="center"/>
      <protection locked="0"/>
    </xf>
    <xf numFmtId="165" fontId="10" fillId="2" borderId="8" xfId="0" applyNumberFormat="1" applyFont="1" applyFill="1" applyBorder="1" applyAlignment="1" applyProtection="1">
      <alignment horizontal="right"/>
      <protection locked="0"/>
    </xf>
    <xf numFmtId="165" fontId="10" fillId="2" borderId="9" xfId="0" applyNumberFormat="1" applyFont="1" applyFill="1" applyBorder="1" applyAlignment="1" applyProtection="1">
      <alignment horizontal="right"/>
      <protection locked="0"/>
    </xf>
    <xf numFmtId="165" fontId="3" fillId="2" borderId="14" xfId="0" applyNumberFormat="1" applyFont="1" applyFill="1" applyBorder="1" applyAlignment="1" applyProtection="1">
      <protection locked="0"/>
    </xf>
    <xf numFmtId="165" fontId="10" fillId="2" borderId="16" xfId="0" applyNumberFormat="1" applyFont="1" applyFill="1" applyBorder="1" applyAlignment="1" applyProtection="1">
      <alignment horizontal="right" vertical="center"/>
      <protection locked="0"/>
    </xf>
    <xf numFmtId="165" fontId="10" fillId="2" borderId="9" xfId="0" applyNumberFormat="1" applyFont="1" applyFill="1" applyBorder="1" applyAlignment="1" applyProtection="1">
      <alignment horizontal="right" vertical="center"/>
      <protection locked="0"/>
    </xf>
    <xf numFmtId="165" fontId="0" fillId="2" borderId="8" xfId="0" applyNumberFormat="1" applyFill="1" applyBorder="1" applyAlignment="1" applyProtection="1">
      <alignment horizontal="right"/>
      <protection locked="0"/>
    </xf>
    <xf numFmtId="165" fontId="10" fillId="2" borderId="16" xfId="0" applyNumberFormat="1" applyFont="1" applyFill="1" applyBorder="1" applyAlignment="1" applyProtection="1">
      <alignment horizontal="right"/>
      <protection locked="0"/>
    </xf>
    <xf numFmtId="165" fontId="10" fillId="2" borderId="4" xfId="0" applyNumberFormat="1" applyFont="1" applyFill="1" applyBorder="1" applyAlignment="1" applyProtection="1">
      <alignment horizontal="right"/>
      <protection locked="0"/>
    </xf>
    <xf numFmtId="0" fontId="2" fillId="0" borderId="0" xfId="0" applyFont="1" applyBorder="1" applyProtection="1"/>
    <xf numFmtId="165" fontId="0" fillId="0" borderId="7" xfId="0" applyNumberFormat="1" applyBorder="1" applyProtection="1"/>
    <xf numFmtId="165" fontId="2" fillId="0" borderId="0" xfId="0" applyNumberFormat="1" applyFont="1" applyBorder="1" applyProtection="1"/>
    <xf numFmtId="0" fontId="2" fillId="0" borderId="0" xfId="0" applyFont="1" applyProtection="1"/>
    <xf numFmtId="0" fontId="0" fillId="0" borderId="0" xfId="0" applyFont="1" applyProtection="1"/>
    <xf numFmtId="0" fontId="0" fillId="0" borderId="0" xfId="0" applyFont="1" applyFill="1" applyBorder="1" applyAlignment="1" applyProtection="1">
      <alignment horizontal="right"/>
    </xf>
    <xf numFmtId="165" fontId="0" fillId="0" borderId="0" xfId="0" applyNumberFormat="1" applyBorder="1" applyAlignment="1" applyProtection="1">
      <alignment horizontal="right" vertical="center"/>
    </xf>
    <xf numFmtId="165" fontId="10" fillId="0" borderId="0" xfId="0" applyNumberFormat="1" applyFont="1" applyBorder="1" applyAlignment="1" applyProtection="1">
      <alignment horizontal="right" vertical="center"/>
    </xf>
    <xf numFmtId="165" fontId="0" fillId="5" borderId="36" xfId="0" applyNumberFormat="1" applyFill="1" applyBorder="1" applyAlignment="1" applyProtection="1">
      <alignment horizontal="right" vertical="center"/>
    </xf>
    <xf numFmtId="0" fontId="11" fillId="0" borderId="0" xfId="0" applyFont="1" applyAlignment="1" applyProtection="1">
      <alignment horizontal="right"/>
    </xf>
    <xf numFmtId="165" fontId="11" fillId="0" borderId="0" xfId="0" applyNumberFormat="1" applyFont="1" applyProtection="1"/>
    <xf numFmtId="165" fontId="0" fillId="0" borderId="36" xfId="0" applyNumberFormat="1" applyFill="1" applyBorder="1" applyAlignment="1" applyProtection="1">
      <alignment horizontal="right" vertical="center"/>
    </xf>
    <xf numFmtId="165" fontId="2" fillId="0" borderId="0" xfId="0" applyNumberFormat="1" applyFont="1" applyProtection="1"/>
    <xf numFmtId="165" fontId="0" fillId="0" borderId="4" xfId="0" applyNumberFormat="1" applyFont="1" applyBorder="1" applyProtection="1"/>
    <xf numFmtId="165" fontId="0" fillId="0" borderId="0" xfId="0" applyNumberFormat="1" applyFont="1" applyBorder="1" applyProtection="1"/>
    <xf numFmtId="165" fontId="1" fillId="0" borderId="0" xfId="0" applyNumberFormat="1" applyFont="1" applyBorder="1" applyProtection="1"/>
    <xf numFmtId="165" fontId="2" fillId="0" borderId="5" xfId="0" applyNumberFormat="1" applyFont="1" applyBorder="1" applyProtection="1"/>
    <xf numFmtId="165" fontId="0" fillId="0" borderId="7" xfId="0" applyNumberFormat="1" applyFont="1" applyBorder="1" applyProtection="1"/>
    <xf numFmtId="165" fontId="0" fillId="0" borderId="4" xfId="0" applyNumberFormat="1" applyFont="1" applyBorder="1" applyAlignment="1" applyProtection="1">
      <alignment horizontal="right"/>
    </xf>
    <xf numFmtId="0" fontId="3" fillId="0" borderId="2" xfId="0" applyFont="1" applyFill="1" applyBorder="1" applyAlignment="1" applyProtection="1">
      <alignment horizontal="right"/>
    </xf>
    <xf numFmtId="0" fontId="3" fillId="0" borderId="0" xfId="0" applyFont="1" applyFill="1" applyBorder="1" applyAlignment="1" applyProtection="1">
      <alignment horizontal="right"/>
    </xf>
    <xf numFmtId="0" fontId="3" fillId="0" borderId="0" xfId="0" applyFont="1" applyBorder="1" applyAlignment="1" applyProtection="1">
      <alignment horizontal="center"/>
    </xf>
    <xf numFmtId="0" fontId="0" fillId="0" borderId="19" xfId="0" applyBorder="1" applyProtection="1"/>
    <xf numFmtId="0" fontId="0" fillId="0" borderId="17" xfId="0" applyBorder="1" applyProtection="1"/>
    <xf numFmtId="165" fontId="0" fillId="0" borderId="4" xfId="0" applyNumberFormat="1" applyBorder="1" applyAlignment="1" applyProtection="1">
      <alignment horizontal="right" vertical="center"/>
    </xf>
    <xf numFmtId="165" fontId="2" fillId="0" borderId="6" xfId="0" applyNumberFormat="1" applyFont="1" applyBorder="1" applyProtection="1"/>
    <xf numFmtId="0" fontId="0" fillId="0" borderId="7" xfId="0" applyFont="1" applyBorder="1" applyProtection="1"/>
    <xf numFmtId="165" fontId="0" fillId="3" borderId="4" xfId="0" applyNumberFormat="1" applyFill="1" applyBorder="1" applyProtection="1"/>
    <xf numFmtId="165" fontId="1" fillId="3" borderId="4" xfId="0" applyNumberFormat="1" applyFont="1" applyFill="1" applyBorder="1" applyProtection="1"/>
    <xf numFmtId="165" fontId="0" fillId="0" borderId="0" xfId="0" applyNumberFormat="1" applyBorder="1" applyProtection="1"/>
    <xf numFmtId="165" fontId="0" fillId="2" borderId="9" xfId="0" applyNumberFormat="1" applyFill="1" applyBorder="1" applyAlignment="1" applyProtection="1">
      <alignment horizontal="right"/>
      <protection locked="0"/>
    </xf>
    <xf numFmtId="165" fontId="0" fillId="2" borderId="36" xfId="0" applyNumberFormat="1" applyFill="1" applyBorder="1" applyProtection="1">
      <protection locked="0"/>
    </xf>
    <xf numFmtId="165" fontId="0" fillId="2" borderId="37" xfId="0" applyNumberFormat="1" applyFill="1" applyBorder="1" applyProtection="1">
      <protection locked="0"/>
    </xf>
    <xf numFmtId="0" fontId="0" fillId="2" borderId="33" xfId="0" applyFill="1" applyBorder="1" applyProtection="1">
      <protection locked="0"/>
    </xf>
    <xf numFmtId="165" fontId="0" fillId="2" borderId="33" xfId="0" applyNumberFormat="1" applyFill="1" applyBorder="1" applyProtection="1">
      <protection locked="0"/>
    </xf>
    <xf numFmtId="164" fontId="0" fillId="2" borderId="5" xfId="0" applyNumberFormat="1" applyFont="1" applyFill="1" applyBorder="1" applyAlignment="1" applyProtection="1">
      <alignment horizontal="right"/>
      <protection locked="0"/>
    </xf>
    <xf numFmtId="0" fontId="0" fillId="2" borderId="4" xfId="0" applyFill="1" applyBorder="1" applyProtection="1">
      <protection locked="0"/>
    </xf>
    <xf numFmtId="0" fontId="0" fillId="2" borderId="36" xfId="0" applyFill="1" applyBorder="1" applyProtection="1">
      <protection locked="0"/>
    </xf>
    <xf numFmtId="165" fontId="0" fillId="2" borderId="33" xfId="0" applyNumberFormat="1" applyFill="1" applyBorder="1" applyAlignment="1" applyProtection="1">
      <alignment horizontal="right" vertical="center"/>
      <protection locked="0"/>
    </xf>
    <xf numFmtId="3" fontId="0" fillId="2" borderId="37" xfId="0" applyNumberFormat="1" applyFill="1" applyBorder="1" applyAlignment="1" applyProtection="1">
      <alignment horizontal="right" vertical="center"/>
      <protection locked="0"/>
    </xf>
    <xf numFmtId="3" fontId="0" fillId="2" borderId="33" xfId="0" applyNumberFormat="1" applyFill="1" applyBorder="1" applyAlignment="1" applyProtection="1">
      <alignment horizontal="right" vertical="center"/>
      <protection locked="0"/>
    </xf>
    <xf numFmtId="165" fontId="0" fillId="0" borderId="0" xfId="0" applyNumberFormat="1" applyProtection="1"/>
    <xf numFmtId="165" fontId="0" fillId="0" borderId="20" xfId="0" applyNumberFormat="1" applyBorder="1" applyProtection="1"/>
    <xf numFmtId="165" fontId="0" fillId="0" borderId="50" xfId="0" applyNumberFormat="1" applyFill="1" applyBorder="1" applyProtection="1"/>
    <xf numFmtId="165" fontId="15" fillId="0" borderId="0" xfId="0" applyNumberFormat="1" applyFont="1" applyProtection="1"/>
    <xf numFmtId="0" fontId="2" fillId="0" borderId="0" xfId="0" applyFont="1" applyBorder="1" applyAlignment="1" applyProtection="1">
      <alignment horizontal="right"/>
    </xf>
    <xf numFmtId="0" fontId="13" fillId="0" borderId="0" xfId="0" applyFont="1" applyProtection="1"/>
    <xf numFmtId="0" fontId="6" fillId="3" borderId="4" xfId="0" applyFont="1" applyFill="1" applyBorder="1" applyAlignment="1" applyProtection="1">
      <alignment horizontal="right"/>
    </xf>
    <xf numFmtId="165" fontId="0" fillId="3" borderId="4" xfId="0" applyNumberFormat="1" applyFont="1" applyFill="1" applyBorder="1" applyProtection="1"/>
    <xf numFmtId="0" fontId="0" fillId="3" borderId="5" xfId="0" applyFill="1" applyBorder="1" applyProtection="1"/>
    <xf numFmtId="0" fontId="0" fillId="3" borderId="6" xfId="0" applyFill="1" applyBorder="1" applyProtection="1"/>
    <xf numFmtId="165" fontId="1" fillId="3" borderId="7" xfId="0" applyNumberFormat="1" applyFont="1" applyFill="1" applyBorder="1" applyProtection="1"/>
    <xf numFmtId="165" fontId="0" fillId="0" borderId="21" xfId="0" applyNumberFormat="1" applyFill="1" applyBorder="1" applyProtection="1"/>
    <xf numFmtId="0" fontId="6" fillId="0" borderId="0" xfId="0" applyFont="1" applyProtection="1"/>
    <xf numFmtId="14" fontId="0" fillId="0" borderId="0" xfId="0" applyNumberFormat="1" applyProtection="1">
      <protection locked="0"/>
    </xf>
    <xf numFmtId="0" fontId="0" fillId="0" borderId="4" xfId="0" applyBorder="1" applyAlignment="1">
      <alignment horizontal="right"/>
    </xf>
    <xf numFmtId="0" fontId="0" fillId="0" borderId="7" xfId="0" applyFill="1" applyBorder="1"/>
    <xf numFmtId="165" fontId="0" fillId="0" borderId="1" xfId="0" applyNumberFormat="1" applyBorder="1"/>
    <xf numFmtId="165" fontId="0" fillId="0" borderId="11" xfId="0" applyNumberFormat="1" applyBorder="1"/>
    <xf numFmtId="0" fontId="0" fillId="0" borderId="4" xfId="0" applyBorder="1" applyAlignment="1">
      <alignment horizontal="right"/>
    </xf>
    <xf numFmtId="0" fontId="13" fillId="0" borderId="0" xfId="0" applyFont="1" applyBorder="1" applyProtection="1"/>
    <xf numFmtId="0" fontId="2" fillId="0" borderId="2" xfId="0" applyFont="1" applyBorder="1" applyAlignment="1" applyProtection="1">
      <alignment horizontal="right"/>
    </xf>
    <xf numFmtId="165" fontId="11" fillId="0" borderId="2" xfId="0" applyNumberFormat="1" applyFont="1" applyFill="1" applyBorder="1" applyAlignment="1" applyProtection="1">
      <alignment horizontal="right"/>
    </xf>
    <xf numFmtId="165" fontId="11" fillId="0" borderId="21" xfId="0" applyNumberFormat="1" applyFont="1" applyFill="1" applyBorder="1" applyAlignment="1" applyProtection="1">
      <alignment horizontal="right"/>
    </xf>
    <xf numFmtId="0" fontId="0" fillId="0" borderId="4"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4" fillId="0" borderId="0" xfId="0" applyNumberFormat="1" applyFont="1" applyFill="1" applyBorder="1" applyAlignment="1">
      <alignment horizontal="left"/>
    </xf>
    <xf numFmtId="165" fontId="0" fillId="0" borderId="19" xfId="0" applyNumberFormat="1" applyBorder="1"/>
    <xf numFmtId="165" fontId="0" fillId="0" borderId="20" xfId="0" applyNumberFormat="1" applyBorder="1"/>
    <xf numFmtId="165" fontId="0" fillId="0" borderId="17" xfId="0" applyNumberFormat="1" applyBorder="1"/>
    <xf numFmtId="165" fontId="0" fillId="0" borderId="18" xfId="0" applyNumberFormat="1" applyBorder="1"/>
    <xf numFmtId="0" fontId="0" fillId="0" borderId="18" xfId="0" applyBorder="1" applyAlignment="1">
      <alignment horizontal="right"/>
    </xf>
    <xf numFmtId="0" fontId="0" fillId="0" borderId="4" xfId="0" applyBorder="1" applyAlignment="1">
      <alignment horizontal="right"/>
    </xf>
    <xf numFmtId="0" fontId="0" fillId="0" borderId="45" xfId="0" applyBorder="1" applyAlignment="1">
      <alignment horizontal="right"/>
    </xf>
    <xf numFmtId="165" fontId="10" fillId="0" borderId="0" xfId="0" applyNumberFormat="1" applyFont="1" applyFill="1" applyBorder="1" applyAlignment="1" applyProtection="1">
      <alignment horizontal="right"/>
    </xf>
    <xf numFmtId="165" fontId="0" fillId="0" borderId="0" xfId="0" applyNumberFormat="1" applyFill="1" applyBorder="1" applyAlignment="1" applyProtection="1">
      <alignment horizontal="right"/>
    </xf>
    <xf numFmtId="0" fontId="0" fillId="0" borderId="4" xfId="0" applyFont="1" applyBorder="1" applyAlignment="1">
      <alignment horizontal="right"/>
    </xf>
    <xf numFmtId="0" fontId="0" fillId="0" borderId="38" xfId="0" applyBorder="1" applyAlignment="1">
      <alignment horizontal="right"/>
    </xf>
    <xf numFmtId="10" fontId="0" fillId="0" borderId="4" xfId="0" applyNumberFormat="1" applyFill="1" applyBorder="1"/>
    <xf numFmtId="165" fontId="0" fillId="0" borderId="3" xfId="0" applyNumberFormat="1" applyBorder="1"/>
    <xf numFmtId="0" fontId="0" fillId="0" borderId="4" xfId="0" applyBorder="1" applyAlignment="1">
      <alignment horizontal="right"/>
    </xf>
    <xf numFmtId="0" fontId="0" fillId="0" borderId="45" xfId="0" applyBorder="1" applyAlignment="1">
      <alignment horizontal="right"/>
    </xf>
    <xf numFmtId="0" fontId="0" fillId="0" borderId="5" xfId="0" applyNumberFormat="1" applyFill="1" applyBorder="1" applyAlignment="1">
      <alignment horizontal="right"/>
    </xf>
    <xf numFmtId="0" fontId="6" fillId="0" borderId="4" xfId="0" applyFont="1" applyBorder="1" applyAlignment="1">
      <alignment horizontal="right"/>
    </xf>
    <xf numFmtId="0" fontId="1" fillId="0" borderId="2" xfId="0" applyFont="1" applyBorder="1"/>
    <xf numFmtId="0" fontId="1" fillId="0" borderId="12" xfId="0" applyFont="1" applyFill="1" applyBorder="1"/>
    <xf numFmtId="0" fontId="6" fillId="0" borderId="4" xfId="0" applyFont="1" applyFill="1" applyBorder="1" applyAlignment="1">
      <alignment horizontal="right"/>
    </xf>
    <xf numFmtId="0" fontId="0" fillId="0" borderId="0" xfId="0" applyBorder="1" applyAlignment="1" applyProtection="1">
      <alignment horizontal="right"/>
    </xf>
    <xf numFmtId="0" fontId="13" fillId="0" borderId="0" xfId="0" applyFont="1" applyBorder="1" applyProtection="1">
      <protection locked="0"/>
    </xf>
    <xf numFmtId="0" fontId="13" fillId="0" borderId="19" xfId="0" applyFont="1" applyBorder="1" applyProtection="1"/>
    <xf numFmtId="165" fontId="0" fillId="0" borderId="19" xfId="0" applyNumberFormat="1" applyFont="1" applyBorder="1" applyProtection="1"/>
    <xf numFmtId="0" fontId="0" fillId="0" borderId="0" xfId="0" applyBorder="1" applyAlignment="1" applyProtection="1">
      <protection locked="0"/>
    </xf>
    <xf numFmtId="1" fontId="0" fillId="0" borderId="0" xfId="0" applyNumberFormat="1"/>
    <xf numFmtId="14" fontId="0" fillId="0" borderId="0" xfId="0" applyNumberFormat="1" applyAlignment="1">
      <alignment horizontal="left"/>
    </xf>
    <xf numFmtId="165" fontId="13" fillId="0" borderId="0" xfId="0" applyNumberFormat="1" applyFont="1" applyBorder="1" applyProtection="1"/>
    <xf numFmtId="0" fontId="13" fillId="0" borderId="0" xfId="0" applyFont="1" applyBorder="1" applyAlignment="1" applyProtection="1">
      <alignment horizontal="right"/>
      <protection locked="0"/>
    </xf>
    <xf numFmtId="0" fontId="13" fillId="0" borderId="0" xfId="0" applyFont="1" applyProtection="1">
      <protection locked="0"/>
    </xf>
    <xf numFmtId="164" fontId="2" fillId="0" borderId="0" xfId="0" applyNumberFormat="1" applyFont="1" applyBorder="1" applyProtection="1"/>
    <xf numFmtId="165" fontId="16" fillId="0" borderId="5" xfId="0" applyNumberFormat="1" applyFont="1" applyBorder="1" applyProtection="1"/>
    <xf numFmtId="165" fontId="16" fillId="0" borderId="7" xfId="0" applyNumberFormat="1" applyFont="1" applyBorder="1" applyProtection="1"/>
    <xf numFmtId="0" fontId="16" fillId="0" borderId="5" xfId="0" applyFont="1" applyBorder="1" applyProtection="1"/>
    <xf numFmtId="165" fontId="3" fillId="0" borderId="0" xfId="0" applyNumberFormat="1" applyFont="1" applyBorder="1" applyAlignment="1" applyProtection="1">
      <alignment horizontal="right"/>
    </xf>
    <xf numFmtId="0" fontId="0" fillId="0" borderId="4" xfId="0" applyFont="1" applyBorder="1" applyAlignment="1" applyProtection="1">
      <alignment horizontal="right"/>
    </xf>
    <xf numFmtId="0" fontId="3" fillId="0" borderId="0" xfId="0" applyFont="1" applyBorder="1" applyAlignment="1" applyProtection="1">
      <alignment horizontal="right"/>
    </xf>
    <xf numFmtId="165" fontId="0" fillId="2" borderId="7" xfId="0" applyNumberFormat="1" applyFill="1" applyBorder="1" applyAlignment="1" applyProtection="1">
      <alignment horizontal="right"/>
      <protection locked="0"/>
    </xf>
    <xf numFmtId="0" fontId="1" fillId="0" borderId="1" xfId="0" applyFont="1" applyBorder="1" applyAlignment="1" applyProtection="1">
      <alignment horizontal="right"/>
    </xf>
    <xf numFmtId="0" fontId="1" fillId="0" borderId="3" xfId="0" applyFont="1" applyBorder="1" applyAlignment="1" applyProtection="1">
      <alignment horizontal="right"/>
    </xf>
    <xf numFmtId="0" fontId="0" fillId="3" borderId="4" xfId="0" applyFill="1" applyBorder="1" applyAlignment="1" applyProtection="1">
      <alignment horizontal="right"/>
    </xf>
    <xf numFmtId="0" fontId="1" fillId="3" borderId="4" xfId="0" applyFont="1" applyFill="1" applyBorder="1" applyAlignment="1" applyProtection="1">
      <alignment horizontal="right"/>
    </xf>
    <xf numFmtId="0" fontId="0" fillId="0" borderId="12" xfId="0" applyBorder="1" applyAlignment="1" applyProtection="1">
      <alignment horizontal="right"/>
    </xf>
    <xf numFmtId="0" fontId="0" fillId="0" borderId="18" xfId="0" applyBorder="1" applyAlignment="1" applyProtection="1">
      <alignment horizontal="right"/>
    </xf>
    <xf numFmtId="0" fontId="3" fillId="0" borderId="0" xfId="0" applyFont="1" applyFill="1" applyBorder="1" applyAlignment="1" applyProtection="1">
      <alignment horizontal="center"/>
    </xf>
    <xf numFmtId="165" fontId="0" fillId="2" borderId="4" xfId="0" applyNumberFormat="1" applyFill="1" applyBorder="1" applyAlignment="1" applyProtection="1">
      <alignment horizontal="right"/>
      <protection locked="0"/>
    </xf>
    <xf numFmtId="0" fontId="0" fillId="0" borderId="5" xfId="0" applyFont="1" applyBorder="1" applyAlignment="1" applyProtection="1">
      <alignment horizontal="right"/>
    </xf>
    <xf numFmtId="0" fontId="0" fillId="0" borderId="19" xfId="0" applyBorder="1" applyAlignment="1" applyProtection="1">
      <alignment horizontal="right"/>
    </xf>
    <xf numFmtId="0" fontId="0" fillId="0" borderId="20" xfId="0" applyBorder="1" applyAlignment="1" applyProtection="1">
      <alignment horizontal="right"/>
    </xf>
    <xf numFmtId="3" fontId="2" fillId="0" borderId="19" xfId="0" applyNumberFormat="1" applyFont="1" applyBorder="1" applyProtection="1"/>
    <xf numFmtId="3" fontId="2" fillId="0" borderId="0" xfId="0" applyNumberFormat="1" applyFont="1" applyBorder="1" applyProtection="1"/>
    <xf numFmtId="165" fontId="0" fillId="2" borderId="7" xfId="0" applyNumberFormat="1" applyFill="1" applyBorder="1" applyAlignment="1" applyProtection="1">
      <alignment horizontal="right"/>
      <protection locked="0"/>
    </xf>
    <xf numFmtId="165" fontId="0" fillId="2" borderId="4" xfId="0" applyNumberFormat="1" applyFill="1" applyBorder="1" applyAlignment="1" applyProtection="1">
      <alignment horizontal="right"/>
      <protection locked="0"/>
    </xf>
    <xf numFmtId="165" fontId="17" fillId="0" borderId="0" xfId="0" applyNumberFormat="1" applyFont="1" applyBorder="1" applyProtection="1"/>
    <xf numFmtId="164" fontId="2" fillId="0" borderId="19" xfId="0" applyNumberFormat="1" applyFont="1" applyBorder="1" applyProtection="1"/>
    <xf numFmtId="0" fontId="0" fillId="0" borderId="4" xfId="0" applyNumberFormat="1" applyBorder="1"/>
    <xf numFmtId="0" fontId="0" fillId="0" borderId="0" xfId="0" applyFont="1"/>
    <xf numFmtId="166" fontId="0" fillId="0" borderId="0" xfId="0" applyNumberFormat="1"/>
    <xf numFmtId="0" fontId="0" fillId="0" borderId="0" xfId="0" applyAlignment="1">
      <alignment horizontal="left"/>
    </xf>
    <xf numFmtId="0" fontId="0" fillId="0" borderId="0" xfId="0" applyBorder="1" applyAlignment="1" applyProtection="1">
      <alignment horizontal="right"/>
    </xf>
    <xf numFmtId="0" fontId="0" fillId="0" borderId="0" xfId="0" applyBorder="1" applyAlignment="1" applyProtection="1"/>
    <xf numFmtId="165" fontId="0" fillId="0" borderId="0" xfId="0" applyNumberFormat="1" applyBorder="1" applyAlignment="1" applyProtection="1"/>
    <xf numFmtId="0" fontId="0" fillId="0" borderId="0" xfId="0" applyAlignment="1" applyProtection="1"/>
    <xf numFmtId="0" fontId="0" fillId="0" borderId="0" xfId="0" applyBorder="1" applyAlignment="1" applyProtection="1">
      <alignment horizontal="left"/>
    </xf>
    <xf numFmtId="0" fontId="13" fillId="0" borderId="0" xfId="0" applyFont="1" applyFill="1" applyBorder="1" applyProtection="1"/>
    <xf numFmtId="0" fontId="13" fillId="0" borderId="0" xfId="0" applyFont="1" applyAlignment="1" applyProtection="1"/>
    <xf numFmtId="0" fontId="1" fillId="5" borderId="1" xfId="0" applyFont="1" applyFill="1" applyBorder="1"/>
    <xf numFmtId="0" fontId="1" fillId="5" borderId="3" xfId="0" applyFont="1" applyFill="1" applyBorder="1"/>
    <xf numFmtId="0" fontId="0" fillId="5" borderId="0" xfId="0" applyFill="1"/>
    <xf numFmtId="0" fontId="0" fillId="5" borderId="4" xfId="0" applyFill="1" applyBorder="1"/>
    <xf numFmtId="165" fontId="0" fillId="5" borderId="4" xfId="0" applyNumberFormat="1" applyFill="1" applyBorder="1"/>
    <xf numFmtId="0" fontId="0" fillId="5" borderId="5" xfId="0" applyFill="1" applyBorder="1"/>
    <xf numFmtId="0" fontId="0" fillId="5" borderId="6" xfId="0" applyFill="1" applyBorder="1"/>
    <xf numFmtId="165" fontId="0" fillId="5" borderId="6" xfId="0" applyNumberFormat="1" applyFill="1" applyBorder="1"/>
    <xf numFmtId="0" fontId="0" fillId="5" borderId="7" xfId="0" applyFill="1" applyBorder="1"/>
    <xf numFmtId="165" fontId="0" fillId="5" borderId="7" xfId="0" applyNumberFormat="1" applyFill="1" applyBorder="1"/>
    <xf numFmtId="43" fontId="0" fillId="5" borderId="4" xfId="0" applyNumberFormat="1" applyFill="1" applyBorder="1"/>
    <xf numFmtId="0" fontId="1" fillId="5" borderId="22" xfId="0" applyFont="1" applyFill="1" applyBorder="1"/>
    <xf numFmtId="0" fontId="1" fillId="5" borderId="23" xfId="0" applyFont="1" applyFill="1" applyBorder="1"/>
    <xf numFmtId="0" fontId="0" fillId="5" borderId="25" xfId="0" applyFill="1" applyBorder="1"/>
    <xf numFmtId="0" fontId="0" fillId="5" borderId="27" xfId="0" applyFill="1" applyBorder="1"/>
    <xf numFmtId="43" fontId="0" fillId="5" borderId="28" xfId="0" applyNumberFormat="1" applyFill="1" applyBorder="1"/>
    <xf numFmtId="0" fontId="0" fillId="0" borderId="81" xfId="0" applyBorder="1"/>
    <xf numFmtId="0" fontId="0" fillId="5" borderId="82" xfId="0" applyFill="1" applyBorder="1"/>
    <xf numFmtId="0" fontId="0" fillId="0" borderId="83" xfId="0" applyBorder="1"/>
    <xf numFmtId="0" fontId="0" fillId="5" borderId="84" xfId="0" applyFill="1" applyBorder="1"/>
    <xf numFmtId="165" fontId="0" fillId="5" borderId="82" xfId="0" applyNumberFormat="1" applyFill="1" applyBorder="1"/>
    <xf numFmtId="0" fontId="0" fillId="0" borderId="4" xfId="0" applyFont="1" applyFill="1" applyBorder="1" applyAlignment="1" applyProtection="1">
      <alignment horizontal="right"/>
    </xf>
    <xf numFmtId="0" fontId="0" fillId="0" borderId="4" xfId="0" applyFont="1" applyBorder="1" applyAlignment="1" applyProtection="1">
      <alignment horizontal="right"/>
    </xf>
    <xf numFmtId="164" fontId="0" fillId="0" borderId="0" xfId="0" applyNumberFormat="1" applyFont="1" applyProtection="1"/>
    <xf numFmtId="0" fontId="19" fillId="0" borderId="0" xfId="0" applyFont="1" applyProtection="1"/>
    <xf numFmtId="0" fontId="19" fillId="0" borderId="0" xfId="0" applyFont="1" applyBorder="1" applyProtection="1"/>
    <xf numFmtId="0" fontId="19" fillId="0" borderId="11" xfId="0" applyFont="1" applyBorder="1" applyProtection="1"/>
    <xf numFmtId="0" fontId="19" fillId="0" borderId="5" xfId="0" applyFont="1" applyBorder="1" applyProtection="1"/>
    <xf numFmtId="0" fontId="19" fillId="0" borderId="4" xfId="0" applyFont="1" applyBorder="1" applyProtection="1"/>
    <xf numFmtId="0" fontId="19" fillId="2" borderId="4" xfId="0" applyFont="1" applyFill="1" applyBorder="1" applyAlignment="1" applyProtection="1">
      <alignment horizontal="right"/>
      <protection locked="0"/>
    </xf>
    <xf numFmtId="0" fontId="19" fillId="0" borderId="19" xfId="0" applyFont="1" applyBorder="1" applyAlignment="1" applyProtection="1">
      <alignment horizontal="right"/>
    </xf>
    <xf numFmtId="3" fontId="2" fillId="0" borderId="21" xfId="0" applyNumberFormat="1" applyFont="1" applyFill="1" applyBorder="1" applyProtection="1"/>
    <xf numFmtId="1" fontId="2" fillId="0" borderId="21" xfId="0" applyNumberFormat="1" applyFont="1" applyFill="1" applyBorder="1" applyProtection="1"/>
    <xf numFmtId="165" fontId="2" fillId="0" borderId="21" xfId="0" applyNumberFormat="1" applyFont="1" applyFill="1" applyBorder="1" applyProtection="1"/>
    <xf numFmtId="0" fontId="23" fillId="0" borderId="0" xfId="0" applyFont="1" applyProtection="1"/>
    <xf numFmtId="0" fontId="19" fillId="0" borderId="1" xfId="0" applyFont="1" applyBorder="1" applyProtection="1"/>
    <xf numFmtId="0" fontId="19" fillId="0" borderId="3" xfId="0" applyFont="1" applyBorder="1" applyProtection="1"/>
    <xf numFmtId="164" fontId="19" fillId="0" borderId="4" xfId="0" applyNumberFormat="1" applyFont="1" applyFill="1" applyBorder="1" applyProtection="1"/>
    <xf numFmtId="0" fontId="20" fillId="0" borderId="1" xfId="0" applyFont="1" applyBorder="1" applyProtection="1"/>
    <xf numFmtId="0" fontId="20" fillId="0" borderId="3" xfId="0" applyFont="1" applyBorder="1" applyProtection="1"/>
    <xf numFmtId="164" fontId="20" fillId="0" borderId="4" xfId="0" applyNumberFormat="1" applyFont="1" applyBorder="1" applyProtection="1"/>
    <xf numFmtId="0" fontId="20" fillId="0" borderId="4" xfId="0" applyFont="1" applyBorder="1" applyAlignment="1" applyProtection="1">
      <alignment horizontal="center"/>
    </xf>
    <xf numFmtId="164" fontId="20" fillId="0" borderId="3" xfId="0" applyNumberFormat="1" applyFont="1" applyBorder="1" applyProtection="1"/>
    <xf numFmtId="0" fontId="19" fillId="0" borderId="5" xfId="0" applyFont="1" applyBorder="1" applyAlignment="1" applyProtection="1">
      <alignment horizontal="right"/>
    </xf>
    <xf numFmtId="0" fontId="19" fillId="0" borderId="6" xfId="0" applyFont="1" applyBorder="1" applyAlignment="1" applyProtection="1">
      <alignment horizontal="right"/>
    </xf>
    <xf numFmtId="0" fontId="19" fillId="0" borderId="6" xfId="0" applyFont="1" applyBorder="1" applyProtection="1"/>
    <xf numFmtId="0" fontId="19" fillId="0" borderId="6" xfId="0" applyFont="1" applyFill="1" applyBorder="1" applyAlignment="1" applyProtection="1">
      <alignment horizontal="right"/>
    </xf>
    <xf numFmtId="0" fontId="19" fillId="0" borderId="7" xfId="0" applyFont="1" applyFill="1" applyBorder="1" applyAlignment="1" applyProtection="1">
      <alignment horizontal="right"/>
    </xf>
    <xf numFmtId="164" fontId="20" fillId="0" borderId="8" xfId="0" applyNumberFormat="1" applyFont="1" applyBorder="1" applyProtection="1"/>
    <xf numFmtId="165" fontId="19" fillId="2" borderId="8" xfId="0" applyNumberFormat="1" applyFont="1" applyFill="1" applyBorder="1" applyProtection="1">
      <protection locked="0"/>
    </xf>
    <xf numFmtId="164" fontId="24" fillId="0" borderId="9" xfId="0" applyNumberFormat="1" applyFont="1" applyBorder="1" applyAlignment="1" applyProtection="1">
      <alignment horizontal="right"/>
    </xf>
    <xf numFmtId="165" fontId="19" fillId="2" borderId="9" xfId="0" applyNumberFormat="1" applyFont="1" applyFill="1" applyBorder="1" applyProtection="1">
      <protection locked="0"/>
    </xf>
    <xf numFmtId="165" fontId="19" fillId="7" borderId="9" xfId="0" applyNumberFormat="1" applyFont="1" applyFill="1" applyBorder="1" applyProtection="1"/>
    <xf numFmtId="164" fontId="24" fillId="0" borderId="8" xfId="0" applyNumberFormat="1" applyFont="1" applyFill="1" applyBorder="1" applyAlignment="1" applyProtection="1">
      <alignment horizontal="right"/>
    </xf>
    <xf numFmtId="165" fontId="19" fillId="2" borderId="14" xfId="0" applyNumberFormat="1" applyFont="1" applyFill="1" applyBorder="1" applyProtection="1">
      <protection locked="0"/>
    </xf>
    <xf numFmtId="165" fontId="26" fillId="0" borderId="21" xfId="0" applyNumberFormat="1" applyFont="1" applyFill="1" applyBorder="1" applyProtection="1"/>
    <xf numFmtId="165" fontId="19" fillId="0" borderId="21" xfId="0" applyNumberFormat="1" applyFont="1" applyFill="1" applyBorder="1" applyProtection="1"/>
    <xf numFmtId="0" fontId="24" fillId="0" borderId="9" xfId="0" applyFont="1" applyBorder="1" applyAlignment="1" applyProtection="1">
      <alignment horizontal="right"/>
    </xf>
    <xf numFmtId="165" fontId="19" fillId="2" borderId="16" xfId="0" applyNumberFormat="1" applyFont="1" applyFill="1" applyBorder="1" applyProtection="1">
      <protection locked="0"/>
    </xf>
    <xf numFmtId="0" fontId="26" fillId="0" borderId="0" xfId="0" applyFont="1" applyBorder="1" applyProtection="1"/>
    <xf numFmtId="165" fontId="19" fillId="0" borderId="5" xfId="0" applyNumberFormat="1" applyFont="1" applyBorder="1" applyProtection="1"/>
    <xf numFmtId="164" fontId="24" fillId="0" borderId="4" xfId="0" applyNumberFormat="1" applyFont="1" applyBorder="1" applyAlignment="1" applyProtection="1">
      <alignment horizontal="right"/>
    </xf>
    <xf numFmtId="167" fontId="19" fillId="2" borderId="14" xfId="0" applyNumberFormat="1" applyFont="1" applyFill="1" applyBorder="1" applyProtection="1">
      <protection locked="0"/>
    </xf>
    <xf numFmtId="167" fontId="19" fillId="2" borderId="16" xfId="0" applyNumberFormat="1" applyFont="1" applyFill="1" applyBorder="1" applyProtection="1">
      <protection locked="0"/>
    </xf>
    <xf numFmtId="0" fontId="19" fillId="0" borderId="10" xfId="0" applyFont="1" applyBorder="1" applyProtection="1"/>
    <xf numFmtId="165" fontId="19" fillId="0" borderId="11" xfId="0" applyNumberFormat="1" applyFont="1" applyFill="1" applyBorder="1" applyProtection="1"/>
    <xf numFmtId="0" fontId="19" fillId="0" borderId="17" xfId="0" applyFont="1" applyBorder="1" applyProtection="1"/>
    <xf numFmtId="0" fontId="19" fillId="0" borderId="21" xfId="0" applyFont="1" applyBorder="1" applyProtection="1"/>
    <xf numFmtId="165" fontId="19" fillId="0" borderId="17" xfId="0" applyNumberFormat="1" applyFont="1" applyFill="1" applyBorder="1" applyProtection="1"/>
    <xf numFmtId="165" fontId="19" fillId="0" borderId="10" xfId="0" applyNumberFormat="1" applyFont="1" applyFill="1" applyBorder="1" applyProtection="1"/>
    <xf numFmtId="165" fontId="19" fillId="0" borderId="0" xfId="0" applyNumberFormat="1" applyFont="1" applyFill="1" applyBorder="1" applyProtection="1"/>
    <xf numFmtId="164" fontId="19" fillId="0" borderId="0" xfId="0" applyNumberFormat="1" applyFont="1" applyFill="1" applyBorder="1" applyProtection="1"/>
    <xf numFmtId="165" fontId="19" fillId="0" borderId="4" xfId="0" applyNumberFormat="1" applyFont="1" applyBorder="1" applyProtection="1"/>
    <xf numFmtId="0" fontId="19" fillId="0" borderId="4" xfId="0" applyFont="1" applyBorder="1" applyAlignment="1" applyProtection="1">
      <alignment horizontal="right"/>
    </xf>
    <xf numFmtId="165" fontId="27" fillId="0" borderId="4" xfId="0" applyNumberFormat="1" applyFont="1" applyBorder="1" applyAlignment="1" applyProtection="1">
      <alignment horizontal="right"/>
    </xf>
    <xf numFmtId="165" fontId="19" fillId="0" borderId="4" xfId="0" applyNumberFormat="1" applyFont="1" applyBorder="1" applyAlignment="1" applyProtection="1"/>
    <xf numFmtId="165" fontId="0" fillId="0" borderId="21" xfId="0" applyNumberFormat="1" applyFont="1" applyFill="1" applyBorder="1" applyProtection="1"/>
    <xf numFmtId="0" fontId="19" fillId="0" borderId="0" xfId="0" applyFont="1" applyBorder="1" applyAlignment="1" applyProtection="1">
      <alignment horizontal="right"/>
    </xf>
    <xf numFmtId="165" fontId="19" fillId="0" borderId="8" xfId="0" applyNumberFormat="1" applyFont="1" applyBorder="1" applyProtection="1"/>
    <xf numFmtId="165" fontId="19" fillId="0" borderId="0" xfId="0" applyNumberFormat="1" applyFont="1" applyBorder="1" applyProtection="1"/>
    <xf numFmtId="165" fontId="19" fillId="0" borderId="9" xfId="0" applyNumberFormat="1" applyFont="1" applyBorder="1" applyProtection="1"/>
    <xf numFmtId="165" fontId="19" fillId="0" borderId="7" xfId="0" applyNumberFormat="1" applyFont="1" applyBorder="1" applyProtection="1"/>
    <xf numFmtId="165" fontId="19" fillId="2" borderId="8" xfId="0" applyNumberFormat="1" applyFont="1" applyFill="1" applyBorder="1" applyAlignment="1" applyProtection="1">
      <alignment horizontal="right" vertical="center"/>
      <protection locked="0"/>
    </xf>
    <xf numFmtId="165" fontId="19" fillId="2" borderId="9" xfId="0" applyNumberFormat="1" applyFont="1" applyFill="1" applyBorder="1" applyAlignment="1" applyProtection="1">
      <alignment horizontal="right" vertical="center"/>
      <protection locked="0"/>
    </xf>
    <xf numFmtId="0" fontId="19" fillId="0" borderId="12" xfId="0" applyFont="1" applyBorder="1" applyProtection="1"/>
    <xf numFmtId="0" fontId="19" fillId="2" borderId="5" xfId="0" applyFont="1" applyFill="1" applyBorder="1" applyProtection="1">
      <protection locked="0"/>
    </xf>
    <xf numFmtId="165" fontId="19" fillId="2" borderId="7" xfId="0" applyNumberFormat="1" applyFont="1" applyFill="1" applyBorder="1" applyAlignment="1" applyProtection="1">
      <alignment horizontal="right" vertical="center"/>
      <protection locked="0"/>
    </xf>
    <xf numFmtId="165" fontId="19" fillId="5" borderId="36" xfId="0" applyNumberFormat="1" applyFont="1" applyFill="1" applyBorder="1" applyAlignment="1" applyProtection="1">
      <alignment horizontal="right" vertical="center"/>
    </xf>
    <xf numFmtId="3" fontId="28" fillId="2" borderId="37" xfId="0" applyNumberFormat="1" applyFont="1" applyFill="1" applyBorder="1" applyAlignment="1" applyProtection="1">
      <alignment horizontal="right" vertical="center"/>
      <protection locked="0"/>
    </xf>
    <xf numFmtId="165" fontId="28" fillId="2" borderId="33" xfId="0" applyNumberFormat="1" applyFont="1" applyFill="1" applyBorder="1" applyAlignment="1" applyProtection="1">
      <alignment horizontal="right" vertical="center"/>
      <protection locked="0"/>
    </xf>
    <xf numFmtId="165" fontId="19" fillId="0" borderId="36" xfId="0" applyNumberFormat="1" applyFont="1" applyFill="1" applyBorder="1" applyAlignment="1" applyProtection="1">
      <alignment horizontal="right" vertical="center"/>
    </xf>
    <xf numFmtId="3" fontId="28" fillId="2" borderId="33" xfId="0" applyNumberFormat="1" applyFont="1" applyFill="1" applyBorder="1" applyAlignment="1" applyProtection="1">
      <alignment horizontal="right" vertical="center"/>
      <protection locked="0"/>
    </xf>
    <xf numFmtId="165" fontId="19" fillId="2" borderId="5" xfId="0" applyNumberFormat="1" applyFont="1" applyFill="1" applyBorder="1" applyAlignment="1" applyProtection="1">
      <alignment horizontal="right" vertical="center"/>
      <protection locked="0"/>
    </xf>
    <xf numFmtId="165" fontId="19" fillId="2" borderId="4" xfId="0" applyNumberFormat="1" applyFont="1" applyFill="1" applyBorder="1" applyAlignment="1" applyProtection="1">
      <alignment horizontal="right" vertical="center"/>
      <protection locked="0"/>
    </xf>
    <xf numFmtId="165" fontId="19" fillId="0" borderId="0" xfId="0" applyNumberFormat="1" applyFont="1" applyProtection="1"/>
    <xf numFmtId="165" fontId="19" fillId="0" borderId="1" xfId="0" applyNumberFormat="1" applyFont="1" applyBorder="1" applyProtection="1"/>
    <xf numFmtId="165" fontId="19" fillId="0" borderId="19" xfId="0" applyNumberFormat="1" applyFont="1" applyBorder="1" applyProtection="1"/>
    <xf numFmtId="0" fontId="19" fillId="0" borderId="0" xfId="0" applyFont="1" applyFill="1" applyBorder="1" applyAlignment="1" applyProtection="1">
      <alignment horizontal="right"/>
    </xf>
    <xf numFmtId="165" fontId="20" fillId="0" borderId="0" xfId="0" applyNumberFormat="1" applyFont="1" applyBorder="1" applyProtection="1"/>
    <xf numFmtId="165" fontId="19" fillId="0" borderId="4" xfId="0" applyNumberFormat="1" applyFont="1" applyBorder="1" applyAlignment="1" applyProtection="1">
      <alignment horizontal="right"/>
    </xf>
    <xf numFmtId="165" fontId="19" fillId="0" borderId="8" xfId="0" applyNumberFormat="1" applyFont="1" applyBorder="1" applyAlignment="1" applyProtection="1">
      <alignment horizontal="right" vertical="center"/>
    </xf>
    <xf numFmtId="165" fontId="19" fillId="0" borderId="9" xfId="0" applyNumberFormat="1" applyFont="1" applyBorder="1" applyAlignment="1" applyProtection="1">
      <alignment horizontal="right" vertical="center"/>
    </xf>
    <xf numFmtId="165" fontId="26" fillId="2" borderId="8" xfId="0" applyNumberFormat="1" applyFont="1" applyFill="1" applyBorder="1" applyAlignment="1" applyProtection="1">
      <alignment horizontal="right"/>
      <protection locked="0"/>
    </xf>
    <xf numFmtId="165" fontId="26" fillId="2" borderId="9" xfId="0" applyNumberFormat="1" applyFont="1" applyFill="1" applyBorder="1" applyAlignment="1" applyProtection="1">
      <alignment horizontal="right"/>
      <protection locked="0"/>
    </xf>
    <xf numFmtId="0" fontId="22" fillId="0" borderId="2" xfId="0" applyFont="1" applyFill="1" applyBorder="1" applyAlignment="1" applyProtection="1">
      <alignment horizontal="right"/>
    </xf>
    <xf numFmtId="165" fontId="26" fillId="0" borderId="2" xfId="0" applyNumberFormat="1" applyFont="1" applyFill="1" applyBorder="1" applyAlignment="1" applyProtection="1">
      <alignment horizontal="right"/>
    </xf>
    <xf numFmtId="0" fontId="22" fillId="0" borderId="0" xfId="0" applyFont="1" applyFill="1" applyBorder="1" applyAlignment="1" applyProtection="1">
      <alignment horizontal="right"/>
    </xf>
    <xf numFmtId="0" fontId="19" fillId="0" borderId="0" xfId="0" applyFont="1" applyFill="1" applyBorder="1" applyProtection="1"/>
    <xf numFmtId="165" fontId="22" fillId="2" borderId="14" xfId="0" applyNumberFormat="1" applyFont="1" applyFill="1" applyBorder="1" applyAlignment="1" applyProtection="1">
      <protection locked="0"/>
    </xf>
    <xf numFmtId="165" fontId="26" fillId="2" borderId="16" xfId="0" applyNumberFormat="1" applyFont="1" applyFill="1" applyBorder="1" applyAlignment="1" applyProtection="1">
      <alignment horizontal="right" vertical="center"/>
      <protection locked="0"/>
    </xf>
    <xf numFmtId="165" fontId="26" fillId="2" borderId="9" xfId="0" applyNumberFormat="1" applyFont="1" applyFill="1" applyBorder="1" applyAlignment="1" applyProtection="1">
      <alignment horizontal="right" vertical="center"/>
      <protection locked="0"/>
    </xf>
    <xf numFmtId="165" fontId="19" fillId="0" borderId="8" xfId="0" applyNumberFormat="1" applyFont="1" applyBorder="1" applyAlignment="1" applyProtection="1">
      <alignment horizontal="right"/>
    </xf>
    <xf numFmtId="165" fontId="19" fillId="0" borderId="9" xfId="0" applyNumberFormat="1" applyFont="1" applyBorder="1" applyAlignment="1" applyProtection="1">
      <alignment horizontal="right"/>
    </xf>
    <xf numFmtId="165" fontId="19" fillId="2" borderId="8" xfId="0" applyNumberFormat="1" applyFont="1" applyFill="1" applyBorder="1" applyAlignment="1" applyProtection="1">
      <alignment horizontal="right"/>
      <protection locked="0"/>
    </xf>
    <xf numFmtId="165" fontId="26" fillId="2" borderId="16" xfId="0" applyNumberFormat="1" applyFont="1" applyFill="1" applyBorder="1" applyAlignment="1" applyProtection="1">
      <alignment horizontal="right"/>
      <protection locked="0"/>
    </xf>
    <xf numFmtId="0" fontId="22" fillId="0" borderId="0" xfId="0" applyFont="1" applyFill="1" applyBorder="1" applyAlignment="1" applyProtection="1">
      <alignment horizontal="center"/>
    </xf>
    <xf numFmtId="0" fontId="22" fillId="0" borderId="0" xfId="0" applyFont="1" applyBorder="1" applyAlignment="1" applyProtection="1">
      <alignment horizontal="center"/>
    </xf>
    <xf numFmtId="0" fontId="22" fillId="0" borderId="0" xfId="0" applyFont="1" applyBorder="1" applyAlignment="1" applyProtection="1">
      <alignment horizontal="right"/>
    </xf>
    <xf numFmtId="165" fontId="26" fillId="2" borderId="4" xfId="0" applyNumberFormat="1" applyFont="1" applyFill="1" applyBorder="1" applyAlignment="1" applyProtection="1">
      <alignment horizontal="right"/>
      <protection locked="0"/>
    </xf>
    <xf numFmtId="165" fontId="26" fillId="0" borderId="0" xfId="0" applyNumberFormat="1" applyFont="1" applyFill="1" applyBorder="1" applyAlignment="1" applyProtection="1">
      <alignment horizontal="right"/>
    </xf>
    <xf numFmtId="165" fontId="19" fillId="0" borderId="5" xfId="0" applyNumberFormat="1" applyFont="1" applyFill="1" applyBorder="1" applyAlignment="1" applyProtection="1">
      <alignment horizontal="right"/>
    </xf>
    <xf numFmtId="165" fontId="19" fillId="2" borderId="36" xfId="0" applyNumberFormat="1" applyFont="1" applyFill="1" applyBorder="1" applyProtection="1">
      <protection locked="0"/>
    </xf>
    <xf numFmtId="165" fontId="19" fillId="2" borderId="33" xfId="0" applyNumberFormat="1" applyFont="1" applyFill="1" applyBorder="1" applyProtection="1">
      <protection locked="0"/>
    </xf>
    <xf numFmtId="165" fontId="19" fillId="2" borderId="6" xfId="0" applyNumberFormat="1" applyFont="1" applyFill="1" applyBorder="1" applyProtection="1">
      <protection locked="0"/>
    </xf>
    <xf numFmtId="165" fontId="19" fillId="2" borderId="37" xfId="0" applyNumberFormat="1" applyFont="1" applyFill="1" applyBorder="1" applyProtection="1">
      <protection locked="0"/>
    </xf>
    <xf numFmtId="165" fontId="19" fillId="0" borderId="50" xfId="0" applyNumberFormat="1" applyFont="1" applyFill="1" applyBorder="1" applyProtection="1"/>
    <xf numFmtId="165" fontId="19" fillId="0" borderId="7" xfId="0" applyNumberFormat="1" applyFont="1" applyFill="1" applyBorder="1" applyAlignment="1" applyProtection="1">
      <alignment horizontal="right"/>
    </xf>
    <xf numFmtId="165" fontId="30" fillId="0" borderId="0" xfId="0" applyNumberFormat="1" applyFont="1" applyProtection="1"/>
    <xf numFmtId="165" fontId="19" fillId="0" borderId="4" xfId="0" applyNumberFormat="1" applyFont="1" applyBorder="1" applyAlignment="1" applyProtection="1">
      <alignment horizontal="right" vertical="center"/>
    </xf>
    <xf numFmtId="0" fontId="19" fillId="0" borderId="12" xfId="0" applyFont="1" applyBorder="1" applyAlignment="1" applyProtection="1">
      <alignment horizontal="right"/>
    </xf>
    <xf numFmtId="0" fontId="19" fillId="0" borderId="19" xfId="0" applyFont="1" applyBorder="1" applyProtection="1"/>
    <xf numFmtId="0" fontId="19" fillId="0" borderId="20" xfId="0" applyFont="1" applyBorder="1" applyAlignment="1" applyProtection="1">
      <alignment horizontal="right"/>
    </xf>
    <xf numFmtId="0" fontId="19" fillId="0" borderId="7" xfId="0" applyFont="1" applyBorder="1" applyProtection="1"/>
    <xf numFmtId="0" fontId="19" fillId="0" borderId="18" xfId="0" applyFont="1" applyBorder="1" applyAlignment="1" applyProtection="1">
      <alignment horizontal="right"/>
    </xf>
    <xf numFmtId="0" fontId="20" fillId="0" borderId="0" xfId="0" applyFont="1" applyProtection="1"/>
    <xf numFmtId="0" fontId="19" fillId="3" borderId="4" xfId="0" applyFont="1" applyFill="1" applyBorder="1" applyAlignment="1" applyProtection="1">
      <alignment horizontal="right"/>
    </xf>
    <xf numFmtId="0" fontId="25" fillId="3" borderId="4" xfId="0" applyFont="1" applyFill="1" applyBorder="1" applyAlignment="1" applyProtection="1">
      <alignment horizontal="right"/>
    </xf>
    <xf numFmtId="165" fontId="19" fillId="3" borderId="4" xfId="0" applyNumberFormat="1" applyFont="1" applyFill="1" applyBorder="1" applyProtection="1"/>
    <xf numFmtId="165" fontId="20" fillId="3" borderId="4" xfId="0" applyNumberFormat="1" applyFont="1" applyFill="1" applyBorder="1" applyProtection="1"/>
    <xf numFmtId="165" fontId="2" fillId="0" borderId="0" xfId="0" applyNumberFormat="1" applyFont="1" applyBorder="1" applyAlignment="1" applyProtection="1">
      <alignment horizontal="right"/>
    </xf>
    <xf numFmtId="0" fontId="31" fillId="0" borderId="0" xfId="0" applyFont="1" applyBorder="1" applyProtection="1"/>
    <xf numFmtId="165" fontId="2" fillId="0" borderId="19" xfId="0" applyNumberFormat="1" applyFont="1" applyBorder="1" applyProtection="1"/>
    <xf numFmtId="3" fontId="28" fillId="2" borderId="39" xfId="0" applyNumberFormat="1" applyFont="1" applyFill="1" applyBorder="1" applyAlignment="1" applyProtection="1">
      <alignment horizontal="right" vertical="center"/>
      <protection locked="0"/>
    </xf>
    <xf numFmtId="0" fontId="19" fillId="0" borderId="0" xfId="0" applyFont="1" applyProtection="1">
      <protection locked="0"/>
    </xf>
    <xf numFmtId="0" fontId="22" fillId="0" borderId="0" xfId="0" applyFont="1" applyBorder="1" applyAlignment="1" applyProtection="1">
      <alignment horizontal="right"/>
      <protection locked="0"/>
    </xf>
    <xf numFmtId="165" fontId="26" fillId="0" borderId="0" xfId="0" applyNumberFormat="1" applyFont="1" applyFill="1" applyBorder="1" applyAlignment="1" applyProtection="1">
      <alignment horizontal="right"/>
      <protection locked="0"/>
    </xf>
    <xf numFmtId="165" fontId="19" fillId="0" borderId="4" xfId="0" applyNumberFormat="1" applyFont="1" applyFill="1" applyBorder="1" applyAlignment="1" applyProtection="1">
      <alignment horizontal="right"/>
    </xf>
    <xf numFmtId="165" fontId="19" fillId="2" borderId="9" xfId="0" applyNumberFormat="1" applyFont="1" applyFill="1" applyBorder="1" applyAlignment="1" applyProtection="1">
      <alignment horizontal="right"/>
      <protection locked="0"/>
    </xf>
    <xf numFmtId="165" fontId="19" fillId="2" borderId="4" xfId="0" applyNumberFormat="1" applyFont="1" applyFill="1" applyBorder="1" applyAlignment="1" applyProtection="1">
      <alignment horizontal="right"/>
      <protection locked="0"/>
    </xf>
    <xf numFmtId="0" fontId="19" fillId="2" borderId="33" xfId="0" applyFont="1" applyFill="1" applyBorder="1" applyProtection="1">
      <protection locked="0"/>
    </xf>
    <xf numFmtId="165" fontId="19" fillId="2" borderId="7" xfId="0" applyNumberFormat="1" applyFont="1" applyFill="1" applyBorder="1" applyAlignment="1" applyProtection="1">
      <alignment horizontal="right"/>
      <protection locked="0"/>
    </xf>
    <xf numFmtId="164" fontId="19" fillId="2" borderId="5" xfId="0" applyNumberFormat="1" applyFont="1" applyFill="1" applyBorder="1" applyAlignment="1" applyProtection="1">
      <alignment horizontal="right"/>
      <protection locked="0"/>
    </xf>
    <xf numFmtId="165" fontId="22" fillId="0" borderId="0" xfId="0" applyNumberFormat="1" applyFont="1" applyBorder="1" applyAlignment="1" applyProtection="1">
      <alignment horizontal="right"/>
    </xf>
    <xf numFmtId="165" fontId="21" fillId="0" borderId="5" xfId="0" applyNumberFormat="1" applyFont="1" applyBorder="1" applyProtection="1"/>
    <xf numFmtId="0" fontId="19" fillId="2" borderId="4" xfId="0" applyFont="1" applyFill="1" applyBorder="1" applyProtection="1">
      <protection locked="0"/>
    </xf>
    <xf numFmtId="165" fontId="21" fillId="0" borderId="7" xfId="0" applyNumberFormat="1" applyFont="1" applyBorder="1" applyProtection="1"/>
    <xf numFmtId="0" fontId="19" fillId="2" borderId="36" xfId="0" applyFont="1" applyFill="1" applyBorder="1" applyProtection="1">
      <protection locked="0"/>
    </xf>
    <xf numFmtId="165" fontId="19" fillId="2" borderId="33" xfId="0" applyNumberFormat="1" applyFont="1" applyFill="1" applyBorder="1" applyAlignment="1" applyProtection="1">
      <alignment horizontal="right" vertical="center"/>
      <protection locked="0"/>
    </xf>
    <xf numFmtId="165" fontId="19" fillId="0" borderId="0" xfId="0" applyNumberFormat="1" applyFont="1" applyBorder="1" applyAlignment="1" applyProtection="1">
      <alignment horizontal="right" vertical="center"/>
    </xf>
    <xf numFmtId="165" fontId="26" fillId="0" borderId="0" xfId="0" applyNumberFormat="1" applyFont="1" applyBorder="1" applyAlignment="1" applyProtection="1">
      <alignment horizontal="right" vertical="center"/>
    </xf>
    <xf numFmtId="3" fontId="19" fillId="2" borderId="37" xfId="0" applyNumberFormat="1" applyFont="1" applyFill="1" applyBorder="1" applyAlignment="1" applyProtection="1">
      <alignment horizontal="right" vertical="center"/>
      <protection locked="0"/>
    </xf>
    <xf numFmtId="3" fontId="19" fillId="2" borderId="33" xfId="0" applyNumberFormat="1" applyFont="1" applyFill="1" applyBorder="1" applyAlignment="1" applyProtection="1">
      <alignment horizontal="right" vertical="center"/>
      <protection locked="0"/>
    </xf>
    <xf numFmtId="0" fontId="21" fillId="3" borderId="4" xfId="0" applyFont="1" applyFill="1" applyBorder="1" applyAlignment="1" applyProtection="1">
      <alignment horizontal="right"/>
    </xf>
    <xf numFmtId="0" fontId="20" fillId="3" borderId="4" xfId="0" applyFont="1" applyFill="1" applyBorder="1" applyAlignment="1" applyProtection="1">
      <alignment horizontal="right"/>
    </xf>
    <xf numFmtId="0" fontId="19" fillId="3" borderId="5" xfId="0" applyFont="1" applyFill="1" applyBorder="1" applyProtection="1"/>
    <xf numFmtId="0" fontId="19" fillId="3" borderId="6" xfId="0" applyFont="1" applyFill="1" applyBorder="1" applyProtection="1"/>
    <xf numFmtId="165" fontId="20" fillId="3" borderId="7" xfId="0" applyNumberFormat="1" applyFont="1" applyFill="1" applyBorder="1" applyProtection="1"/>
    <xf numFmtId="0" fontId="0" fillId="0" borderId="19" xfId="0" applyFont="1" applyBorder="1" applyAlignment="1" applyProtection="1">
      <alignment horizontal="right"/>
    </xf>
    <xf numFmtId="0" fontId="0" fillId="0" borderId="0" xfId="0" applyFont="1" applyBorder="1" applyAlignment="1" applyProtection="1">
      <alignment horizontal="right"/>
    </xf>
    <xf numFmtId="0" fontId="0" fillId="0" borderId="19" xfId="0" applyFont="1" applyBorder="1" applyProtection="1"/>
    <xf numFmtId="165" fontId="0" fillId="2" borderId="8" xfId="0" applyNumberFormat="1" applyFont="1" applyFill="1" applyBorder="1" applyProtection="1">
      <protection locked="0"/>
    </xf>
    <xf numFmtId="165" fontId="0" fillId="2" borderId="9" xfId="0" applyNumberFormat="1" applyFont="1" applyFill="1" applyBorder="1" applyProtection="1">
      <protection locked="0"/>
    </xf>
    <xf numFmtId="165" fontId="6" fillId="0" borderId="5" xfId="0" applyNumberFormat="1" applyFont="1" applyBorder="1" applyProtection="1"/>
    <xf numFmtId="0" fontId="0" fillId="2" borderId="4" xfId="0" applyFont="1" applyFill="1" applyBorder="1" applyProtection="1">
      <protection locked="0"/>
    </xf>
    <xf numFmtId="165" fontId="6" fillId="0" borderId="7" xfId="0" applyNumberFormat="1" applyFont="1" applyBorder="1" applyProtection="1"/>
    <xf numFmtId="165" fontId="0" fillId="0" borderId="2" xfId="0" applyNumberFormat="1" applyFont="1" applyFill="1" applyBorder="1" applyProtection="1"/>
    <xf numFmtId="0" fontId="6" fillId="0" borderId="5" xfId="0" applyFont="1" applyBorder="1" applyProtection="1"/>
    <xf numFmtId="165" fontId="0" fillId="2" borderId="8" xfId="0" applyNumberFormat="1" applyFont="1" applyFill="1" applyBorder="1" applyAlignment="1" applyProtection="1">
      <alignment horizontal="right" vertical="center"/>
      <protection locked="0"/>
    </xf>
    <xf numFmtId="165" fontId="0" fillId="2" borderId="9" xfId="0" applyNumberFormat="1" applyFont="1" applyFill="1" applyBorder="1" applyAlignment="1" applyProtection="1">
      <alignment horizontal="right" vertical="center"/>
      <protection locked="0"/>
    </xf>
    <xf numFmtId="0" fontId="0" fillId="2" borderId="36" xfId="0" applyFont="1" applyFill="1" applyBorder="1" applyProtection="1">
      <protection locked="0"/>
    </xf>
    <xf numFmtId="165" fontId="0" fillId="2" borderId="33" xfId="0" applyNumberFormat="1" applyFont="1" applyFill="1" applyBorder="1" applyAlignment="1" applyProtection="1">
      <alignment horizontal="right" vertical="center"/>
      <protection locked="0"/>
    </xf>
    <xf numFmtId="165" fontId="0" fillId="0" borderId="0" xfId="0" applyNumberFormat="1" applyFont="1" applyBorder="1" applyAlignment="1" applyProtection="1">
      <alignment horizontal="right" vertical="center"/>
    </xf>
    <xf numFmtId="165" fontId="0" fillId="5" borderId="36" xfId="0" applyNumberFormat="1" applyFont="1" applyFill="1" applyBorder="1" applyAlignment="1" applyProtection="1">
      <alignment horizontal="right" vertical="center"/>
    </xf>
    <xf numFmtId="3" fontId="0" fillId="2" borderId="37" xfId="0" applyNumberFormat="1" applyFont="1" applyFill="1" applyBorder="1" applyAlignment="1" applyProtection="1">
      <alignment horizontal="right" vertical="center"/>
      <protection locked="0"/>
    </xf>
    <xf numFmtId="165" fontId="0" fillId="0" borderId="36" xfId="0" applyNumberFormat="1" applyFont="1" applyFill="1" applyBorder="1" applyAlignment="1" applyProtection="1">
      <alignment horizontal="right" vertical="center"/>
    </xf>
    <xf numFmtId="3" fontId="0" fillId="2" borderId="33" xfId="0" applyNumberFormat="1" applyFont="1" applyFill="1" applyBorder="1" applyAlignment="1" applyProtection="1">
      <alignment horizontal="right" vertical="center"/>
      <protection locked="0"/>
    </xf>
    <xf numFmtId="165" fontId="0" fillId="2" borderId="5" xfId="0" applyNumberFormat="1" applyFont="1" applyFill="1" applyBorder="1" applyAlignment="1" applyProtection="1">
      <alignment horizontal="right" vertical="center"/>
      <protection locked="0"/>
    </xf>
    <xf numFmtId="165" fontId="0" fillId="2" borderId="4" xfId="0" applyNumberFormat="1" applyFont="1" applyFill="1" applyBorder="1" applyAlignment="1" applyProtection="1">
      <alignment horizontal="right" vertical="center"/>
      <protection locked="0"/>
    </xf>
    <xf numFmtId="165" fontId="0" fillId="0" borderId="5" xfId="0" applyNumberFormat="1" applyFont="1" applyBorder="1" applyProtection="1"/>
    <xf numFmtId="0" fontId="0" fillId="3" borderId="4" xfId="0" applyFont="1" applyFill="1" applyBorder="1" applyAlignment="1" applyProtection="1">
      <alignment horizontal="right"/>
    </xf>
    <xf numFmtId="0" fontId="0" fillId="3" borderId="5" xfId="0" applyFont="1" applyFill="1" applyBorder="1" applyProtection="1"/>
    <xf numFmtId="0" fontId="0" fillId="3" borderId="6" xfId="0" applyFont="1" applyFill="1" applyBorder="1" applyProtection="1"/>
    <xf numFmtId="0" fontId="20" fillId="0" borderId="1" xfId="0" applyFont="1" applyBorder="1" applyAlignment="1" applyProtection="1">
      <alignment horizontal="right"/>
    </xf>
    <xf numFmtId="0" fontId="20" fillId="0" borderId="3" xfId="0" applyFont="1" applyBorder="1" applyAlignment="1" applyProtection="1">
      <alignment horizontal="right"/>
    </xf>
    <xf numFmtId="165" fontId="19" fillId="0" borderId="0" xfId="0" applyNumberFormat="1" applyFont="1" applyFill="1" applyBorder="1" applyAlignment="1" applyProtection="1">
      <alignment horizontal="right"/>
    </xf>
    <xf numFmtId="165" fontId="19" fillId="0" borderId="20" xfId="0" applyNumberFormat="1" applyFont="1" applyBorder="1" applyProtection="1"/>
    <xf numFmtId="0" fontId="21" fillId="0" borderId="5" xfId="0" applyFont="1" applyBorder="1" applyProtection="1"/>
    <xf numFmtId="165" fontId="2" fillId="0" borderId="2" xfId="0" applyNumberFormat="1" applyFont="1" applyFill="1" applyBorder="1" applyProtection="1"/>
    <xf numFmtId="165" fontId="2" fillId="2" borderId="33" xfId="0" applyNumberFormat="1" applyFont="1" applyFill="1" applyBorder="1" applyAlignment="1" applyProtection="1">
      <alignment horizontal="right" vertical="center"/>
      <protection locked="0"/>
    </xf>
    <xf numFmtId="0" fontId="2" fillId="0" borderId="21" xfId="0" applyFont="1" applyFill="1" applyBorder="1" applyProtection="1"/>
    <xf numFmtId="0" fontId="21" fillId="0" borderId="0" xfId="0" applyFont="1" applyProtection="1"/>
    <xf numFmtId="0" fontId="1" fillId="0" borderId="1" xfId="0" applyFont="1" applyBorder="1" applyProtection="1"/>
    <xf numFmtId="0" fontId="1" fillId="0" borderId="2" xfId="0" applyFont="1" applyBorder="1" applyProtection="1"/>
    <xf numFmtId="0" fontId="1" fillId="0" borderId="3" xfId="0" applyFont="1" applyBorder="1" applyProtection="1"/>
    <xf numFmtId="0" fontId="0" fillId="0" borderId="3" xfId="0" applyFont="1" applyBorder="1" applyProtection="1"/>
    <xf numFmtId="0" fontId="0" fillId="0" borderId="0" xfId="0" applyFont="1" applyFill="1" applyBorder="1" applyAlignment="1" applyProtection="1"/>
    <xf numFmtId="0" fontId="6" fillId="0" borderId="0" xfId="0" applyFont="1" applyFill="1" applyBorder="1" applyAlignment="1" applyProtection="1"/>
    <xf numFmtId="0" fontId="0" fillId="0" borderId="0" xfId="0" applyFont="1" applyProtection="1">
      <protection locked="0"/>
    </xf>
    <xf numFmtId="2" fontId="5" fillId="0" borderId="0" xfId="0" applyNumberFormat="1" applyFont="1" applyProtection="1"/>
    <xf numFmtId="164" fontId="1" fillId="0" borderId="1" xfId="0" applyNumberFormat="1" applyFont="1" applyFill="1" applyBorder="1" applyAlignment="1" applyProtection="1">
      <alignment horizontal="right"/>
    </xf>
    <xf numFmtId="164" fontId="1" fillId="0" borderId="3" xfId="0" applyNumberFormat="1" applyFont="1" applyFill="1" applyBorder="1" applyAlignment="1" applyProtection="1">
      <alignment horizontal="right"/>
    </xf>
    <xf numFmtId="0" fontId="6" fillId="0" borderId="0" xfId="0" applyFont="1" applyFill="1" applyProtection="1"/>
    <xf numFmtId="0" fontId="0" fillId="0" borderId="6" xfId="0" applyFont="1" applyBorder="1" applyAlignment="1" applyProtection="1">
      <alignment horizontal="right"/>
    </xf>
    <xf numFmtId="164" fontId="0" fillId="0" borderId="4" xfId="0" applyNumberFormat="1" applyFont="1" applyBorder="1" applyAlignment="1" applyProtection="1">
      <alignment horizontal="right"/>
    </xf>
    <xf numFmtId="165" fontId="6" fillId="2" borderId="4" xfId="0" applyNumberFormat="1" applyFont="1" applyFill="1" applyBorder="1" applyProtection="1">
      <protection locked="0"/>
    </xf>
    <xf numFmtId="165" fontId="6" fillId="2" borderId="4" xfId="0" applyNumberFormat="1" applyFont="1" applyFill="1" applyBorder="1" applyAlignment="1" applyProtection="1">
      <protection locked="0"/>
    </xf>
    <xf numFmtId="164" fontId="6" fillId="0" borderId="4" xfId="0" applyNumberFormat="1" applyFont="1" applyFill="1" applyBorder="1" applyAlignment="1" applyProtection="1">
      <alignment horizontal="right"/>
    </xf>
    <xf numFmtId="165" fontId="6" fillId="0" borderId="4" xfId="0" applyNumberFormat="1" applyFont="1" applyBorder="1" applyAlignment="1" applyProtection="1"/>
    <xf numFmtId="0" fontId="0" fillId="0" borderId="21" xfId="0" applyFont="1" applyBorder="1" applyProtection="1">
      <protection locked="0"/>
    </xf>
    <xf numFmtId="14" fontId="2" fillId="0" borderId="0" xfId="0" applyNumberFormat="1" applyFont="1" applyProtection="1"/>
    <xf numFmtId="17" fontId="2" fillId="0" borderId="0" xfId="0" applyNumberFormat="1" applyFont="1" applyProtection="1"/>
    <xf numFmtId="165" fontId="19" fillId="2" borderId="4" xfId="0" applyNumberFormat="1" applyFont="1" applyFill="1" applyBorder="1" applyProtection="1">
      <protection locked="0"/>
    </xf>
    <xf numFmtId="165" fontId="20" fillId="0" borderId="4" xfId="0" applyNumberFormat="1" applyFont="1" applyBorder="1" applyProtection="1"/>
    <xf numFmtId="0" fontId="1" fillId="0" borderId="0" xfId="0" applyFont="1" applyProtection="1"/>
    <xf numFmtId="0" fontId="9" fillId="0" borderId="4" xfId="0" applyFont="1" applyBorder="1" applyAlignment="1" applyProtection="1">
      <alignment horizontal="right"/>
    </xf>
    <xf numFmtId="165" fontId="0" fillId="2" borderId="4" xfId="0" applyNumberFormat="1" applyFont="1" applyFill="1" applyBorder="1" applyProtection="1">
      <protection locked="0"/>
    </xf>
    <xf numFmtId="165" fontId="1" fillId="0" borderId="4" xfId="0" applyNumberFormat="1" applyFont="1" applyFill="1" applyBorder="1" applyProtection="1"/>
    <xf numFmtId="165" fontId="1" fillId="0" borderId="4" xfId="0" applyNumberFormat="1" applyFont="1" applyBorder="1" applyProtection="1"/>
    <xf numFmtId="165" fontId="0" fillId="0" borderId="4" xfId="0" applyNumberFormat="1" applyFont="1" applyFill="1" applyBorder="1" applyProtection="1"/>
    <xf numFmtId="165" fontId="0" fillId="0" borderId="4" xfId="0" applyNumberFormat="1" applyFont="1" applyFill="1" applyBorder="1" applyAlignment="1" applyProtection="1">
      <alignment horizontal="right"/>
    </xf>
    <xf numFmtId="0" fontId="9" fillId="0" borderId="4" xfId="0" applyFont="1" applyFill="1" applyBorder="1" applyAlignment="1" applyProtection="1">
      <alignment horizontal="right"/>
    </xf>
    <xf numFmtId="165" fontId="9" fillId="0" borderId="4" xfId="0" applyNumberFormat="1" applyFont="1" applyBorder="1" applyAlignment="1" applyProtection="1">
      <alignment horizontal="right"/>
    </xf>
    <xf numFmtId="165" fontId="0" fillId="0" borderId="1" xfId="0" applyNumberFormat="1" applyFont="1" applyBorder="1" applyProtection="1"/>
    <xf numFmtId="165" fontId="0" fillId="0" borderId="2" xfId="0" applyNumberFormat="1" applyFont="1" applyBorder="1" applyProtection="1"/>
    <xf numFmtId="165" fontId="0" fillId="0" borderId="3" xfId="0" applyNumberFormat="1" applyFont="1" applyBorder="1" applyProtection="1"/>
    <xf numFmtId="0" fontId="0" fillId="0" borderId="1" xfId="0" applyFont="1" applyBorder="1" applyProtection="1"/>
    <xf numFmtId="0" fontId="0" fillId="0" borderId="2" xfId="0" applyFont="1" applyBorder="1" applyProtection="1"/>
    <xf numFmtId="165" fontId="0" fillId="0" borderId="36" xfId="0" applyNumberFormat="1" applyFont="1" applyFill="1" applyBorder="1" applyProtection="1"/>
    <xf numFmtId="165" fontId="0" fillId="4" borderId="36" xfId="0" applyNumberFormat="1" applyFont="1" applyFill="1" applyBorder="1" applyProtection="1"/>
    <xf numFmtId="0" fontId="0" fillId="4" borderId="36" xfId="0" applyFont="1" applyFill="1" applyBorder="1" applyProtection="1"/>
    <xf numFmtId="165" fontId="0" fillId="2" borderId="33" xfId="0" applyNumberFormat="1" applyFont="1" applyFill="1" applyBorder="1" applyProtection="1">
      <protection locked="0"/>
    </xf>
    <xf numFmtId="165" fontId="0" fillId="4" borderId="33" xfId="0" applyNumberFormat="1" applyFont="1" applyFill="1" applyBorder="1" applyProtection="1"/>
    <xf numFmtId="0" fontId="0" fillId="4" borderId="33" xfId="0" applyFont="1" applyFill="1" applyBorder="1" applyProtection="1"/>
    <xf numFmtId="165" fontId="0" fillId="5" borderId="4" xfId="0" applyNumberFormat="1" applyFont="1" applyFill="1" applyBorder="1" applyProtection="1"/>
    <xf numFmtId="165" fontId="0" fillId="5" borderId="5" xfId="0" applyNumberFormat="1" applyFont="1" applyFill="1" applyBorder="1" applyProtection="1"/>
    <xf numFmtId="165" fontId="0" fillId="5" borderId="23" xfId="0" applyNumberFormat="1" applyFont="1" applyFill="1" applyBorder="1" applyProtection="1"/>
    <xf numFmtId="165" fontId="0" fillId="5" borderId="24" xfId="0" applyNumberFormat="1" applyFont="1" applyFill="1" applyBorder="1" applyProtection="1"/>
    <xf numFmtId="165" fontId="0" fillId="2" borderId="7" xfId="0" applyNumberFormat="1" applyFont="1" applyFill="1" applyBorder="1" applyProtection="1">
      <protection locked="0"/>
    </xf>
    <xf numFmtId="165" fontId="0" fillId="2" borderId="26" xfId="0" applyNumberFormat="1" applyFont="1" applyFill="1" applyBorder="1" applyProtection="1">
      <protection locked="0"/>
    </xf>
    <xf numFmtId="165" fontId="0" fillId="0" borderId="26" xfId="0" applyNumberFormat="1" applyFont="1" applyBorder="1" applyProtection="1"/>
    <xf numFmtId="165" fontId="0" fillId="0" borderId="28" xfId="0" applyNumberFormat="1" applyFont="1" applyBorder="1" applyProtection="1"/>
    <xf numFmtId="165" fontId="0" fillId="0" borderId="29" xfId="0" applyNumberFormat="1" applyFont="1" applyBorder="1" applyProtection="1"/>
    <xf numFmtId="0" fontId="0" fillId="4" borderId="57" xfId="0" applyFont="1" applyFill="1" applyBorder="1" applyProtection="1"/>
    <xf numFmtId="0" fontId="0" fillId="4" borderId="58" xfId="0" applyFont="1" applyFill="1" applyBorder="1" applyProtection="1"/>
    <xf numFmtId="0" fontId="0" fillId="4" borderId="59" xfId="0" applyFont="1" applyFill="1" applyBorder="1" applyProtection="1"/>
    <xf numFmtId="0" fontId="0" fillId="4" borderId="60" xfId="0" applyFont="1" applyFill="1" applyBorder="1" applyProtection="1"/>
    <xf numFmtId="0" fontId="0" fillId="4" borderId="61" xfId="0" applyFont="1" applyFill="1" applyBorder="1" applyProtection="1"/>
    <xf numFmtId="0" fontId="0" fillId="4" borderId="62" xfId="0" applyFont="1" applyFill="1" applyBorder="1" applyProtection="1"/>
    <xf numFmtId="165" fontId="10" fillId="0" borderId="4" xfId="0" applyNumberFormat="1" applyFont="1" applyBorder="1" applyAlignment="1" applyProtection="1">
      <alignment horizontal="right"/>
    </xf>
    <xf numFmtId="0" fontId="1" fillId="0" borderId="5" xfId="0" applyFont="1" applyBorder="1" applyProtection="1"/>
    <xf numFmtId="165" fontId="1" fillId="0" borderId="7" xfId="0" applyNumberFormat="1" applyFont="1" applyBorder="1" applyProtection="1"/>
    <xf numFmtId="0" fontId="0" fillId="4" borderId="63" xfId="0" applyFont="1" applyFill="1" applyBorder="1" applyProtection="1"/>
    <xf numFmtId="0" fontId="0" fillId="4" borderId="64" xfId="0" applyFont="1" applyFill="1" applyBorder="1" applyProtection="1"/>
    <xf numFmtId="0" fontId="0" fillId="0" borderId="5" xfId="0" applyFont="1" applyBorder="1" applyProtection="1"/>
    <xf numFmtId="0" fontId="0" fillId="4" borderId="65" xfId="0" applyFont="1" applyFill="1" applyBorder="1" applyProtection="1"/>
    <xf numFmtId="0" fontId="0" fillId="4" borderId="66" xfId="0" applyFont="1" applyFill="1" applyBorder="1" applyProtection="1"/>
    <xf numFmtId="0" fontId="0" fillId="4" borderId="67" xfId="0" applyFont="1" applyFill="1" applyBorder="1" applyAlignment="1" applyProtection="1"/>
    <xf numFmtId="0" fontId="0" fillId="4" borderId="68" xfId="0" applyFont="1" applyFill="1" applyBorder="1" applyAlignment="1" applyProtection="1"/>
    <xf numFmtId="0" fontId="0" fillId="0" borderId="5" xfId="0" applyFont="1" applyFill="1" applyBorder="1" applyAlignment="1" applyProtection="1"/>
    <xf numFmtId="0" fontId="0" fillId="4" borderId="65" xfId="0" applyFont="1" applyFill="1" applyBorder="1" applyAlignment="1" applyProtection="1"/>
    <xf numFmtId="0" fontId="0" fillId="4" borderId="66" xfId="0" applyFont="1" applyFill="1" applyBorder="1" applyAlignment="1" applyProtection="1"/>
    <xf numFmtId="0" fontId="0" fillId="4" borderId="67" xfId="0" applyFont="1" applyFill="1" applyBorder="1" applyProtection="1"/>
    <xf numFmtId="0" fontId="0" fillId="4" borderId="68" xfId="0" applyFont="1" applyFill="1" applyBorder="1" applyProtection="1"/>
    <xf numFmtId="0" fontId="0" fillId="4" borderId="69" xfId="0" applyFont="1" applyFill="1" applyBorder="1" applyProtection="1"/>
    <xf numFmtId="0" fontId="0" fillId="4" borderId="70" xfId="0" applyFont="1" applyFill="1" applyBorder="1" applyProtection="1"/>
    <xf numFmtId="165" fontId="0" fillId="0" borderId="7" xfId="0" applyNumberFormat="1" applyFont="1" applyBorder="1" applyAlignment="1" applyProtection="1">
      <alignment horizontal="right"/>
    </xf>
    <xf numFmtId="0" fontId="0" fillId="4" borderId="4" xfId="0" applyFont="1" applyFill="1" applyBorder="1" applyProtection="1"/>
    <xf numFmtId="165" fontId="0" fillId="0" borderId="23" xfId="0" applyNumberFormat="1" applyFont="1" applyBorder="1" applyProtection="1"/>
    <xf numFmtId="165" fontId="0" fillId="0" borderId="56" xfId="0" applyNumberFormat="1" applyFont="1" applyBorder="1" applyProtection="1"/>
    <xf numFmtId="165" fontId="0" fillId="0" borderId="24" xfId="0" applyNumberFormat="1" applyFont="1" applyBorder="1" applyProtection="1"/>
    <xf numFmtId="165" fontId="0" fillId="2" borderId="1" xfId="0" applyNumberFormat="1" applyFont="1" applyFill="1" applyBorder="1" applyProtection="1">
      <protection locked="0"/>
    </xf>
    <xf numFmtId="165" fontId="0" fillId="0" borderId="51" xfId="0" applyNumberFormat="1" applyFont="1" applyBorder="1" applyProtection="1"/>
    <xf numFmtId="0" fontId="0" fillId="0" borderId="0" xfId="0" applyFont="1" applyBorder="1" applyAlignment="1" applyProtection="1">
      <alignment wrapText="1"/>
    </xf>
    <xf numFmtId="0" fontId="6" fillId="2" borderId="36" xfId="0" applyFont="1" applyFill="1" applyBorder="1" applyAlignment="1" applyProtection="1">
      <alignment horizontal="right"/>
      <protection locked="0"/>
    </xf>
    <xf numFmtId="14" fontId="6" fillId="5" borderId="37" xfId="0" applyNumberFormat="1" applyFont="1" applyFill="1" applyBorder="1" applyAlignment="1" applyProtection="1">
      <alignment horizontal="right"/>
    </xf>
    <xf numFmtId="14" fontId="0" fillId="2" borderId="33" xfId="0" applyNumberFormat="1" applyFont="1" applyFill="1" applyBorder="1" applyProtection="1">
      <protection locked="0"/>
    </xf>
    <xf numFmtId="0" fontId="0" fillId="2" borderId="33" xfId="0" applyFont="1" applyFill="1" applyBorder="1" applyProtection="1">
      <protection locked="0"/>
    </xf>
    <xf numFmtId="0" fontId="0" fillId="0" borderId="21" xfId="0" applyFont="1" applyFill="1" applyBorder="1" applyProtection="1"/>
    <xf numFmtId="0" fontId="0" fillId="0" borderId="19" xfId="0" applyFont="1" applyFill="1" applyBorder="1" applyAlignment="1" applyProtection="1">
      <alignment horizontal="right"/>
    </xf>
    <xf numFmtId="0" fontId="0" fillId="0" borderId="0" xfId="0" applyFont="1" applyFill="1" applyBorder="1" applyProtection="1"/>
    <xf numFmtId="165" fontId="0" fillId="0" borderId="0" xfId="0" applyNumberFormat="1" applyFont="1" applyFill="1" applyBorder="1" applyProtection="1"/>
    <xf numFmtId="0" fontId="6" fillId="0" borderId="33" xfId="0" applyFont="1" applyFill="1" applyBorder="1" applyAlignment="1" applyProtection="1">
      <alignment horizontal="right"/>
      <protection locked="0"/>
    </xf>
    <xf numFmtId="0" fontId="0" fillId="0" borderId="33" xfId="0" applyFont="1" applyFill="1" applyBorder="1" applyProtection="1">
      <protection locked="0"/>
    </xf>
    <xf numFmtId="0" fontId="6" fillId="2" borderId="4" xfId="0" applyFont="1" applyFill="1" applyBorder="1" applyAlignment="1" applyProtection="1">
      <alignment horizontal="right"/>
      <protection locked="0"/>
    </xf>
    <xf numFmtId="0" fontId="6" fillId="2" borderId="39" xfId="0" applyFont="1" applyFill="1" applyBorder="1" applyAlignment="1" applyProtection="1">
      <alignment horizontal="right"/>
      <protection locked="0"/>
    </xf>
    <xf numFmtId="0" fontId="0" fillId="5" borderId="37" xfId="0" applyFont="1" applyFill="1" applyBorder="1" applyProtection="1"/>
    <xf numFmtId="14" fontId="6" fillId="2" borderId="33" xfId="0" applyNumberFormat="1" applyFont="1" applyFill="1" applyBorder="1" applyAlignment="1" applyProtection="1">
      <alignment horizontal="right"/>
      <protection locked="0"/>
    </xf>
    <xf numFmtId="0" fontId="6" fillId="2" borderId="33" xfId="0" applyFont="1" applyFill="1" applyBorder="1" applyAlignment="1" applyProtection="1">
      <alignment horizontal="right"/>
      <protection locked="0"/>
    </xf>
    <xf numFmtId="0" fontId="0" fillId="0" borderId="0" xfId="0" applyFont="1" applyFill="1" applyProtection="1"/>
    <xf numFmtId="0" fontId="2" fillId="0" borderId="0" xfId="0" applyFont="1" applyAlignment="1" applyProtection="1">
      <alignment horizontal="right"/>
    </xf>
    <xf numFmtId="0" fontId="19" fillId="0" borderId="4" xfId="0" applyFont="1" applyFill="1" applyBorder="1" applyAlignment="1" applyProtection="1">
      <alignment horizontal="right"/>
    </xf>
    <xf numFmtId="165" fontId="19" fillId="5" borderId="4" xfId="0" applyNumberFormat="1" applyFont="1" applyFill="1" applyBorder="1" applyProtection="1"/>
    <xf numFmtId="165" fontId="19" fillId="0" borderId="17" xfId="0" applyNumberFormat="1" applyFont="1" applyBorder="1" applyProtection="1"/>
    <xf numFmtId="165" fontId="19" fillId="0" borderId="71" xfId="0" applyNumberFormat="1" applyFont="1" applyBorder="1" applyProtection="1"/>
    <xf numFmtId="165" fontId="19" fillId="6" borderId="5" xfId="0" applyNumberFormat="1" applyFont="1" applyFill="1" applyBorder="1" applyProtection="1"/>
    <xf numFmtId="165" fontId="19" fillId="6" borderId="7" xfId="0" applyNumberFormat="1" applyFont="1" applyFill="1" applyBorder="1" applyProtection="1"/>
    <xf numFmtId="0" fontId="19" fillId="6" borderId="5" xfId="0" applyFont="1" applyFill="1" applyBorder="1" applyProtection="1"/>
    <xf numFmtId="0" fontId="19" fillId="4" borderId="5" xfId="0" applyFont="1" applyFill="1" applyBorder="1" applyProtection="1"/>
    <xf numFmtId="165" fontId="19" fillId="4" borderId="7" xfId="0" applyNumberFormat="1" applyFont="1" applyFill="1" applyBorder="1" applyProtection="1"/>
    <xf numFmtId="165" fontId="19" fillId="0" borderId="1" xfId="0" applyNumberFormat="1" applyFont="1" applyFill="1" applyBorder="1" applyProtection="1"/>
    <xf numFmtId="165" fontId="19" fillId="0" borderId="71" xfId="0" applyNumberFormat="1" applyFont="1" applyFill="1" applyBorder="1" applyProtection="1"/>
    <xf numFmtId="165" fontId="19" fillId="0" borderId="24" xfId="0" applyNumberFormat="1" applyFont="1" applyBorder="1" applyProtection="1"/>
    <xf numFmtId="0" fontId="19" fillId="0" borderId="40" xfId="0" applyFont="1" applyBorder="1" applyAlignment="1" applyProtection="1">
      <alignment horizontal="left"/>
    </xf>
    <xf numFmtId="0" fontId="19" fillId="0" borderId="42" xfId="0" applyFont="1" applyBorder="1" applyProtection="1"/>
    <xf numFmtId="165" fontId="19" fillId="0" borderId="26" xfId="0" applyNumberFormat="1" applyFont="1" applyBorder="1" applyProtection="1"/>
    <xf numFmtId="0" fontId="19" fillId="0" borderId="22" xfId="0" applyFont="1" applyBorder="1" applyAlignment="1" applyProtection="1">
      <alignment horizontal="right"/>
    </xf>
    <xf numFmtId="165" fontId="19" fillId="0" borderId="29" xfId="0" applyNumberFormat="1" applyFont="1" applyBorder="1" applyProtection="1"/>
    <xf numFmtId="0" fontId="19" fillId="0" borderId="25" xfId="0" applyFont="1" applyBorder="1" applyAlignment="1" applyProtection="1">
      <alignment horizontal="right"/>
    </xf>
    <xf numFmtId="0" fontId="19" fillId="0" borderId="27" xfId="0" applyFont="1" applyBorder="1" applyAlignment="1" applyProtection="1">
      <alignment horizontal="right"/>
    </xf>
    <xf numFmtId="165" fontId="19" fillId="0" borderId="24" xfId="0" applyNumberFormat="1" applyFont="1" applyBorder="1" applyAlignment="1"/>
    <xf numFmtId="165" fontId="19" fillId="0" borderId="80" xfId="0" applyNumberFormat="1" applyFont="1" applyBorder="1" applyProtection="1"/>
    <xf numFmtId="0" fontId="19" fillId="0" borderId="22" xfId="0" applyFont="1" applyBorder="1" applyProtection="1"/>
    <xf numFmtId="165" fontId="19" fillId="0" borderId="24" xfId="0" applyNumberFormat="1" applyFont="1" applyBorder="1" applyAlignment="1" applyProtection="1"/>
    <xf numFmtId="0" fontId="19" fillId="0" borderId="0" xfId="0" applyFont="1" applyBorder="1" applyAlignment="1" applyProtection="1"/>
    <xf numFmtId="0" fontId="19" fillId="0" borderId="22" xfId="0" applyFont="1" applyBorder="1" applyAlignment="1" applyProtection="1">
      <alignment horizontal="left"/>
    </xf>
    <xf numFmtId="0" fontId="19" fillId="0" borderId="25" xfId="0" applyFont="1" applyBorder="1" applyProtection="1"/>
    <xf numFmtId="165" fontId="19" fillId="0" borderId="26" xfId="0" applyNumberFormat="1" applyFont="1" applyBorder="1" applyAlignment="1" applyProtection="1">
      <alignment horizontal="right"/>
    </xf>
    <xf numFmtId="0" fontId="19" fillId="0" borderId="25" xfId="0" applyFont="1" applyBorder="1" applyAlignment="1" applyProtection="1">
      <alignment horizontal="left"/>
    </xf>
    <xf numFmtId="165" fontId="19" fillId="0" borderId="26" xfId="0" applyNumberFormat="1" applyFont="1" applyBorder="1" applyAlignment="1" applyProtection="1"/>
    <xf numFmtId="0" fontId="19" fillId="0" borderId="27" xfId="0" applyFont="1" applyBorder="1" applyProtection="1"/>
    <xf numFmtId="165" fontId="19" fillId="0" borderId="29" xfId="0" applyNumberFormat="1" applyFont="1" applyBorder="1" applyAlignment="1" applyProtection="1"/>
    <xf numFmtId="0" fontId="19" fillId="0" borderId="27" xfId="0" applyFont="1" applyFill="1" applyBorder="1" applyAlignment="1" applyProtection="1">
      <alignment horizontal="left"/>
    </xf>
    <xf numFmtId="165" fontId="19" fillId="0" borderId="0" xfId="0" applyNumberFormat="1" applyFont="1" applyBorder="1" applyAlignment="1" applyProtection="1"/>
    <xf numFmtId="0" fontId="20" fillId="0" borderId="0" xfId="0" applyFont="1" applyBorder="1" applyAlignment="1" applyProtection="1">
      <alignment horizontal="left" vertical="center"/>
    </xf>
    <xf numFmtId="0" fontId="2" fillId="0" borderId="72" xfId="0" applyFont="1" applyBorder="1" applyAlignment="1" applyProtection="1">
      <alignment horizontal="right"/>
    </xf>
    <xf numFmtId="165" fontId="2" fillId="0" borderId="72" xfId="0" applyNumberFormat="1" applyFont="1" applyBorder="1" applyProtection="1"/>
    <xf numFmtId="165" fontId="0" fillId="0" borderId="23" xfId="0" applyNumberFormat="1" applyFont="1" applyFill="1" applyBorder="1" applyProtection="1"/>
    <xf numFmtId="0" fontId="0" fillId="0" borderId="7" xfId="0" applyFont="1" applyFill="1" applyBorder="1" applyAlignment="1" applyProtection="1">
      <alignment horizontal="right"/>
    </xf>
    <xf numFmtId="0" fontId="0" fillId="0" borderId="7" xfId="0" applyFont="1" applyFill="1" applyBorder="1" applyAlignment="1" applyProtection="1">
      <alignment horizontal="right"/>
    </xf>
    <xf numFmtId="0" fontId="2" fillId="0" borderId="19" xfId="0" applyFont="1" applyBorder="1" applyProtection="1"/>
    <xf numFmtId="165" fontId="2" fillId="0" borderId="19" xfId="0" applyNumberFormat="1" applyFont="1" applyFill="1" applyBorder="1" applyAlignment="1" applyProtection="1">
      <alignment horizontal="right"/>
    </xf>
    <xf numFmtId="165" fontId="2" fillId="0" borderId="19" xfId="0" applyNumberFormat="1" applyFont="1" applyFill="1" applyBorder="1" applyProtection="1"/>
    <xf numFmtId="0" fontId="2" fillId="5" borderId="19" xfId="0" applyFont="1" applyFill="1" applyBorder="1" applyProtection="1"/>
    <xf numFmtId="165" fontId="2" fillId="5" borderId="19" xfId="0" applyNumberFormat="1" applyFont="1" applyFill="1" applyBorder="1" applyProtection="1"/>
    <xf numFmtId="165" fontId="2" fillId="5" borderId="0" xfId="0" applyNumberFormat="1" applyFont="1" applyFill="1" applyBorder="1" applyProtection="1"/>
    <xf numFmtId="0" fontId="2" fillId="5" borderId="0" xfId="0" applyFont="1" applyFill="1" applyBorder="1" applyProtection="1"/>
    <xf numFmtId="0" fontId="0" fillId="4" borderId="19" xfId="0" applyFont="1" applyFill="1" applyBorder="1" applyProtection="1"/>
    <xf numFmtId="0" fontId="0" fillId="4" borderId="0" xfId="0" applyFont="1" applyFill="1" applyBorder="1" applyProtection="1"/>
    <xf numFmtId="165" fontId="0" fillId="3" borderId="7" xfId="0" applyNumberFormat="1" applyFont="1" applyFill="1" applyBorder="1" applyProtection="1"/>
    <xf numFmtId="165" fontId="0" fillId="8" borderId="5" xfId="0" applyNumberFormat="1" applyFont="1" applyFill="1" applyBorder="1" applyProtection="1"/>
    <xf numFmtId="165" fontId="0" fillId="8" borderId="7" xfId="0" applyNumberFormat="1" applyFont="1" applyFill="1" applyBorder="1" applyProtection="1"/>
    <xf numFmtId="165" fontId="33" fillId="3" borderId="5" xfId="0" applyNumberFormat="1" applyFont="1" applyFill="1" applyBorder="1" applyProtection="1"/>
    <xf numFmtId="165" fontId="0" fillId="8" borderId="4" xfId="0" applyNumberFormat="1" applyFont="1" applyFill="1" applyBorder="1" applyProtection="1"/>
    <xf numFmtId="0" fontId="1" fillId="3" borderId="0" xfId="0" applyFont="1" applyFill="1" applyProtection="1"/>
    <xf numFmtId="0" fontId="0" fillId="3" borderId="0" xfId="0" applyFont="1" applyFill="1" applyProtection="1"/>
    <xf numFmtId="0" fontId="0" fillId="3" borderId="0" xfId="0" applyFont="1" applyFill="1" applyProtection="1">
      <protection locked="0"/>
    </xf>
    <xf numFmtId="0" fontId="0" fillId="3" borderId="0" xfId="0" applyFont="1" applyFill="1" applyBorder="1" applyAlignment="1" applyProtection="1"/>
    <xf numFmtId="0" fontId="1" fillId="3" borderId="0" xfId="0" applyFont="1" applyFill="1" applyBorder="1" applyAlignment="1" applyProtection="1"/>
    <xf numFmtId="0" fontId="0" fillId="3" borderId="11" xfId="0" applyFont="1" applyFill="1" applyBorder="1" applyProtection="1"/>
    <xf numFmtId="0" fontId="0" fillId="3" borderId="12" xfId="0" applyFont="1" applyFill="1" applyBorder="1" applyProtection="1"/>
    <xf numFmtId="0" fontId="0" fillId="3" borderId="17" xfId="0" applyFont="1" applyFill="1" applyBorder="1" applyAlignment="1" applyProtection="1"/>
    <xf numFmtId="165" fontId="0" fillId="3" borderId="18" xfId="0" applyNumberFormat="1" applyFont="1" applyFill="1" applyBorder="1" applyAlignment="1" applyProtection="1"/>
    <xf numFmtId="0" fontId="1" fillId="3" borderId="1" xfId="0" applyFont="1" applyFill="1" applyBorder="1" applyProtection="1"/>
    <xf numFmtId="165" fontId="1" fillId="3" borderId="3" xfId="0" applyNumberFormat="1" applyFont="1" applyFill="1" applyBorder="1" applyProtection="1"/>
    <xf numFmtId="165" fontId="0" fillId="3" borderId="0" xfId="0" applyNumberFormat="1" applyFont="1" applyFill="1" applyProtection="1"/>
    <xf numFmtId="0" fontId="1" fillId="8" borderId="11" xfId="0" applyFont="1" applyFill="1" applyBorder="1" applyProtection="1"/>
    <xf numFmtId="0" fontId="0" fillId="8" borderId="21" xfId="0" applyFont="1" applyFill="1" applyBorder="1" applyProtection="1"/>
    <xf numFmtId="0" fontId="0" fillId="8" borderId="12" xfId="0" applyFont="1" applyFill="1" applyBorder="1" applyProtection="1">
      <protection locked="0"/>
    </xf>
    <xf numFmtId="0" fontId="0" fillId="8" borderId="0" xfId="0" applyFont="1" applyFill="1" applyBorder="1" applyProtection="1"/>
    <xf numFmtId="0" fontId="0" fillId="8" borderId="20" xfId="0" applyFont="1" applyFill="1" applyBorder="1" applyProtection="1">
      <protection locked="0"/>
    </xf>
    <xf numFmtId="0" fontId="0" fillId="8" borderId="19" xfId="0" applyFont="1" applyFill="1" applyBorder="1" applyProtection="1"/>
    <xf numFmtId="0" fontId="0" fillId="8" borderId="0" xfId="0" applyFont="1" applyFill="1" applyBorder="1" applyAlignment="1" applyProtection="1"/>
    <xf numFmtId="0" fontId="1" fillId="8" borderId="0" xfId="0" applyFont="1" applyFill="1" applyBorder="1" applyAlignment="1" applyProtection="1"/>
    <xf numFmtId="0" fontId="0" fillId="8" borderId="11" xfId="0" applyFont="1" applyFill="1" applyBorder="1" applyProtection="1"/>
    <xf numFmtId="0" fontId="0" fillId="8" borderId="12" xfId="0" applyFont="1" applyFill="1" applyBorder="1" applyProtection="1"/>
    <xf numFmtId="0" fontId="0" fillId="8" borderId="17" xfId="0" applyFont="1" applyFill="1" applyBorder="1" applyAlignment="1" applyProtection="1"/>
    <xf numFmtId="165" fontId="0" fillId="8" borderId="18" xfId="0" applyNumberFormat="1" applyFont="1" applyFill="1" applyBorder="1" applyAlignment="1" applyProtection="1"/>
    <xf numFmtId="0" fontId="1" fillId="8" borderId="1" xfId="0" applyFont="1" applyFill="1" applyBorder="1" applyProtection="1"/>
    <xf numFmtId="165" fontId="1" fillId="8" borderId="3" xfId="0" applyNumberFormat="1" applyFont="1" applyFill="1" applyBorder="1" applyProtection="1"/>
    <xf numFmtId="0" fontId="0" fillId="8" borderId="17" xfId="0" applyFont="1" applyFill="1" applyBorder="1" applyProtection="1"/>
    <xf numFmtId="0" fontId="0" fillId="8" borderId="10" xfId="0" applyFont="1" applyFill="1" applyBorder="1" applyProtection="1"/>
    <xf numFmtId="165" fontId="0" fillId="8" borderId="10" xfId="0" applyNumberFormat="1" applyFont="1" applyFill="1" applyBorder="1" applyProtection="1"/>
    <xf numFmtId="0" fontId="0" fillId="8" borderId="10" xfId="0" applyFont="1" applyFill="1" applyBorder="1" applyAlignment="1" applyProtection="1"/>
    <xf numFmtId="0" fontId="0" fillId="8" borderId="18" xfId="0" applyFont="1" applyFill="1" applyBorder="1" applyProtection="1">
      <protection locked="0"/>
    </xf>
    <xf numFmtId="0" fontId="19" fillId="0" borderId="4" xfId="0" applyFont="1" applyBorder="1" applyAlignment="1" applyProtection="1">
      <alignment horizontal="right"/>
    </xf>
    <xf numFmtId="165" fontId="19" fillId="0" borderId="4" xfId="0" applyNumberFormat="1" applyFont="1" applyBorder="1" applyAlignment="1" applyProtection="1">
      <alignment horizontal="right"/>
    </xf>
    <xf numFmtId="0" fontId="19" fillId="0" borderId="0" xfId="0" applyFont="1" applyBorder="1" applyAlignment="1" applyProtection="1">
      <alignment horizontal="right"/>
    </xf>
    <xf numFmtId="0" fontId="13" fillId="0" borderId="0" xfId="0" applyNumberFormat="1" applyFont="1" applyProtection="1"/>
    <xf numFmtId="14" fontId="13" fillId="0" borderId="0" xfId="0" applyNumberFormat="1" applyFont="1" applyProtection="1"/>
    <xf numFmtId="2" fontId="13" fillId="0" borderId="0" xfId="0" applyNumberFormat="1" applyFont="1" applyProtection="1"/>
    <xf numFmtId="164" fontId="13" fillId="0" borderId="0" xfId="0" applyNumberFormat="1" applyFont="1" applyProtection="1"/>
    <xf numFmtId="1" fontId="13" fillId="0" borderId="0" xfId="0" applyNumberFormat="1" applyFont="1" applyProtection="1"/>
    <xf numFmtId="0" fontId="25" fillId="0" borderId="19" xfId="0" applyFont="1" applyFill="1" applyBorder="1" applyAlignment="1" applyProtection="1">
      <alignment horizontal="right"/>
    </xf>
    <xf numFmtId="0" fontId="25" fillId="0" borderId="20" xfId="0" applyFont="1" applyFill="1" applyBorder="1" applyAlignment="1" applyProtection="1">
      <alignment horizontal="right"/>
    </xf>
    <xf numFmtId="165" fontId="19" fillId="2" borderId="6" xfId="0" applyNumberFormat="1" applyFont="1" applyFill="1" applyBorder="1" applyAlignment="1" applyProtection="1">
      <alignment horizontal="right"/>
      <protection locked="0"/>
    </xf>
    <xf numFmtId="0" fontId="9" fillId="0" borderId="19" xfId="0" applyFont="1" applyFill="1" applyBorder="1" applyAlignment="1" applyProtection="1">
      <alignment horizontal="right"/>
    </xf>
    <xf numFmtId="0" fontId="9" fillId="0" borderId="20" xfId="0" applyFont="1" applyFill="1" applyBorder="1" applyAlignment="1" applyProtection="1">
      <alignment horizontal="right"/>
    </xf>
    <xf numFmtId="165" fontId="0" fillId="2" borderId="6" xfId="0" applyNumberFormat="1" applyFill="1" applyBorder="1" applyAlignment="1" applyProtection="1">
      <alignment horizontal="right"/>
      <protection locked="0"/>
    </xf>
    <xf numFmtId="0" fontId="2" fillId="0" borderId="0" xfId="0" applyFont="1" applyFill="1" applyBorder="1" applyProtection="1"/>
    <xf numFmtId="0" fontId="2" fillId="0" borderId="0" xfId="0" applyFont="1" applyProtection="1">
      <protection locked="0"/>
    </xf>
    <xf numFmtId="0" fontId="31" fillId="0" borderId="0" xfId="0" applyFont="1" applyFill="1" applyBorder="1" applyAlignment="1" applyProtection="1">
      <alignment horizontal="right"/>
    </xf>
    <xf numFmtId="0" fontId="2" fillId="0" borderId="0" xfId="0" applyFont="1" applyFill="1" applyBorder="1" applyAlignment="1" applyProtection="1">
      <alignment horizontal="center"/>
    </xf>
    <xf numFmtId="165" fontId="2" fillId="0" borderId="0" xfId="0" applyNumberFormat="1" applyFont="1" applyFill="1" applyBorder="1" applyAlignment="1" applyProtection="1">
      <alignment horizontal="right"/>
    </xf>
    <xf numFmtId="0" fontId="19" fillId="3" borderId="4" xfId="0" applyFont="1" applyFill="1" applyBorder="1" applyAlignment="1">
      <alignment wrapText="1"/>
    </xf>
    <xf numFmtId="0" fontId="19" fillId="3" borderId="26" xfId="0" applyFont="1" applyFill="1" applyBorder="1" applyAlignment="1">
      <alignment horizontal="center" vertical="center"/>
    </xf>
    <xf numFmtId="0" fontId="19" fillId="3" borderId="25" xfId="0" applyFont="1" applyFill="1" applyBorder="1"/>
    <xf numFmtId="165" fontId="19" fillId="6" borderId="4" xfId="0" applyNumberFormat="1" applyFont="1" applyFill="1" applyBorder="1" applyProtection="1">
      <protection locked="0"/>
    </xf>
    <xf numFmtId="165" fontId="19" fillId="6" borderId="89" xfId="0" applyNumberFormat="1" applyFont="1" applyFill="1" applyBorder="1" applyProtection="1">
      <protection locked="0"/>
    </xf>
    <xf numFmtId="0" fontId="19" fillId="3" borderId="27" xfId="0" applyFont="1" applyFill="1" applyBorder="1"/>
    <xf numFmtId="165" fontId="19" fillId="6" borderId="28" xfId="0" applyNumberFormat="1" applyFont="1" applyFill="1" applyBorder="1" applyProtection="1">
      <protection locked="0"/>
    </xf>
    <xf numFmtId="165" fontId="19" fillId="6" borderId="90" xfId="0" applyNumberFormat="1" applyFont="1" applyFill="1" applyBorder="1" applyProtection="1">
      <protection locked="0"/>
    </xf>
    <xf numFmtId="165" fontId="0" fillId="0" borderId="0" xfId="0" applyNumberFormat="1" applyFill="1" applyBorder="1"/>
    <xf numFmtId="0" fontId="0" fillId="3" borderId="25" xfId="0" applyFill="1" applyBorder="1"/>
    <xf numFmtId="165" fontId="0" fillId="6" borderId="26" xfId="0" applyNumberFormat="1" applyFill="1" applyBorder="1" applyProtection="1">
      <protection locked="0"/>
    </xf>
    <xf numFmtId="0" fontId="0" fillId="3" borderId="27" xfId="0" applyFill="1" applyBorder="1"/>
    <xf numFmtId="0" fontId="0" fillId="0" borderId="10" xfId="0" applyFont="1" applyBorder="1" applyProtection="1"/>
    <xf numFmtId="0" fontId="0" fillId="0" borderId="17" xfId="0" applyFont="1" applyBorder="1" applyProtection="1"/>
    <xf numFmtId="0" fontId="0" fillId="9" borderId="1" xfId="0" applyFont="1" applyFill="1" applyBorder="1" applyProtection="1"/>
    <xf numFmtId="0" fontId="0" fillId="9" borderId="2" xfId="0" applyFont="1" applyFill="1" applyBorder="1" applyProtection="1"/>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44" fontId="19" fillId="0" borderId="0" xfId="0" applyNumberFormat="1" applyFont="1" applyBorder="1" applyAlignment="1" applyProtection="1"/>
    <xf numFmtId="7" fontId="19" fillId="0" borderId="0" xfId="0" applyNumberFormat="1" applyFont="1" applyBorder="1" applyAlignment="1" applyProtection="1"/>
    <xf numFmtId="7" fontId="19" fillId="0" borderId="0" xfId="0" applyNumberFormat="1" applyFont="1" applyBorder="1" applyProtection="1"/>
    <xf numFmtId="0" fontId="13" fillId="0" borderId="0" xfId="0" applyFont="1" applyBorder="1" applyAlignment="1" applyProtection="1">
      <alignment horizontal="right"/>
    </xf>
    <xf numFmtId="0" fontId="19" fillId="0" borderId="0" xfId="0" applyFont="1" applyProtection="1"/>
    <xf numFmtId="7" fontId="13" fillId="0" borderId="0" xfId="0" applyNumberFormat="1" applyFont="1" applyFill="1" applyBorder="1" applyAlignment="1" applyProtection="1">
      <alignment vertical="center"/>
      <protection locked="0"/>
    </xf>
    <xf numFmtId="0" fontId="2" fillId="0" borderId="0" xfId="0" applyFont="1"/>
    <xf numFmtId="14" fontId="0" fillId="0" borderId="0" xfId="0" applyNumberFormat="1"/>
    <xf numFmtId="0" fontId="0" fillId="0" borderId="5" xfId="0" applyFont="1" applyBorder="1" applyAlignment="1" applyProtection="1">
      <alignment horizontal="right"/>
    </xf>
    <xf numFmtId="0" fontId="0" fillId="0" borderId="4" xfId="0" applyFont="1" applyBorder="1" applyAlignment="1" applyProtection="1">
      <alignment horizontal="right"/>
    </xf>
    <xf numFmtId="0" fontId="1" fillId="0" borderId="1" xfId="0" applyFont="1" applyBorder="1" applyAlignment="1" applyProtection="1">
      <alignment horizontal="right"/>
    </xf>
    <xf numFmtId="0" fontId="1" fillId="0" borderId="3" xfId="0" applyFont="1" applyBorder="1" applyAlignment="1" applyProtection="1">
      <alignment horizontal="right"/>
    </xf>
    <xf numFmtId="0" fontId="3" fillId="0" borderId="0" xfId="0" applyFont="1" applyFill="1" applyBorder="1" applyAlignment="1" applyProtection="1">
      <alignment horizontal="center"/>
    </xf>
    <xf numFmtId="0" fontId="2" fillId="0" borderId="0" xfId="0" applyFont="1" applyFill="1" applyBorder="1" applyAlignment="1" applyProtection="1">
      <alignment horizontal="center"/>
    </xf>
    <xf numFmtId="165" fontId="0" fillId="0" borderId="4" xfId="0" applyNumberFormat="1" applyFont="1" applyBorder="1" applyAlignment="1" applyProtection="1">
      <alignment horizontal="right"/>
    </xf>
    <xf numFmtId="0" fontId="0" fillId="3" borderId="4" xfId="0" applyFont="1" applyFill="1" applyBorder="1" applyAlignment="1" applyProtection="1">
      <alignment horizontal="right"/>
    </xf>
    <xf numFmtId="0" fontId="1" fillId="3" borderId="4" xfId="0" applyFont="1" applyFill="1" applyBorder="1" applyAlignment="1" applyProtection="1">
      <alignment horizontal="right"/>
    </xf>
    <xf numFmtId="0" fontId="19" fillId="0" borderId="4" xfId="0" applyFont="1" applyBorder="1" applyAlignment="1" applyProtection="1">
      <alignment horizontal="right"/>
    </xf>
    <xf numFmtId="0" fontId="20" fillId="0" borderId="0" xfId="0" applyFont="1" applyAlignment="1" applyProtection="1">
      <alignment horizontal="right"/>
    </xf>
    <xf numFmtId="0" fontId="19" fillId="0" borderId="5" xfId="0" applyFont="1" applyBorder="1" applyAlignment="1" applyProtection="1">
      <alignment horizontal="right"/>
    </xf>
    <xf numFmtId="0" fontId="19" fillId="0" borderId="7" xfId="0" applyFont="1" applyBorder="1" applyAlignment="1" applyProtection="1">
      <alignment horizontal="right"/>
    </xf>
    <xf numFmtId="0" fontId="0" fillId="0" borderId="5" xfId="0" applyFont="1" applyBorder="1" applyAlignment="1" applyProtection="1">
      <alignment horizontal="right"/>
    </xf>
    <xf numFmtId="0" fontId="0" fillId="0" borderId="7" xfId="0" applyFont="1" applyBorder="1" applyAlignment="1" applyProtection="1">
      <alignment horizontal="right"/>
    </xf>
    <xf numFmtId="0" fontId="19" fillId="0" borderId="0" xfId="0" applyFont="1" applyProtection="1"/>
    <xf numFmtId="0" fontId="20" fillId="0" borderId="0" xfId="0" applyFont="1" applyAlignment="1" applyProtection="1"/>
    <xf numFmtId="9" fontId="6" fillId="2" borderId="36" xfId="0" applyNumberFormat="1" applyFont="1" applyFill="1" applyBorder="1" applyAlignment="1" applyProtection="1">
      <alignment horizontal="right"/>
      <protection locked="0"/>
    </xf>
    <xf numFmtId="0" fontId="0" fillId="0" borderId="7" xfId="0" applyFont="1" applyFill="1" applyBorder="1" applyProtection="1">
      <protection locked="0"/>
    </xf>
    <xf numFmtId="14" fontId="0" fillId="0" borderId="0" xfId="0" applyNumberFormat="1" applyProtection="1"/>
    <xf numFmtId="0" fontId="0" fillId="0" borderId="11" xfId="0" applyFont="1" applyBorder="1" applyProtection="1"/>
    <xf numFmtId="0" fontId="0" fillId="0" borderId="21" xfId="0" applyFont="1" applyBorder="1" applyProtection="1"/>
    <xf numFmtId="1" fontId="0" fillId="0" borderId="19" xfId="0" applyNumberFormat="1" applyFont="1" applyBorder="1" applyProtection="1"/>
    <xf numFmtId="1" fontId="0" fillId="0" borderId="0" xfId="0" applyNumberFormat="1" applyFont="1" applyBorder="1" applyProtection="1"/>
    <xf numFmtId="0" fontId="0" fillId="0" borderId="0" xfId="0" applyFont="1" applyBorder="1" applyProtection="1"/>
    <xf numFmtId="0" fontId="4" fillId="0" borderId="21" xfId="0" applyFont="1" applyBorder="1" applyProtection="1"/>
    <xf numFmtId="0" fontId="0" fillId="0" borderId="21" xfId="0" applyBorder="1" applyProtection="1"/>
    <xf numFmtId="0" fontId="9" fillId="0" borderId="0" xfId="0" applyFont="1" applyBorder="1" applyAlignment="1" applyProtection="1">
      <alignment horizontal="left" indent="1"/>
    </xf>
    <xf numFmtId="0" fontId="35" fillId="0" borderId="0" xfId="0" applyFont="1" applyBorder="1" applyAlignment="1" applyProtection="1">
      <alignment horizontal="left" indent="1"/>
    </xf>
    <xf numFmtId="0" fontId="0" fillId="0" borderId="10" xfId="0" applyBorder="1" applyProtection="1"/>
    <xf numFmtId="0" fontId="35" fillId="0" borderId="4" xfId="0" applyFont="1" applyBorder="1" applyAlignment="1" applyProtection="1">
      <alignment horizontal="left" indent="1"/>
    </xf>
    <xf numFmtId="0" fontId="0" fillId="0" borderId="4" xfId="0" applyBorder="1" applyAlignment="1" applyProtection="1">
      <alignment wrapText="1"/>
    </xf>
    <xf numFmtId="0" fontId="0" fillId="0" borderId="4" xfId="0" applyBorder="1" applyAlignment="1" applyProtection="1">
      <alignment horizontal="left" indent="2"/>
    </xf>
    <xf numFmtId="165" fontId="0" fillId="10" borderId="4" xfId="0" applyNumberFormat="1" applyFill="1" applyBorder="1" applyAlignment="1" applyProtection="1"/>
    <xf numFmtId="165" fontId="0" fillId="0" borderId="4" xfId="0" applyNumberFormat="1" applyFill="1" applyBorder="1" applyAlignment="1" applyProtection="1">
      <alignment horizontal="center"/>
    </xf>
    <xf numFmtId="0" fontId="35" fillId="0" borderId="0" xfId="0" applyFont="1" applyBorder="1" applyAlignment="1" applyProtection="1">
      <alignment horizontal="left" indent="2"/>
    </xf>
    <xf numFmtId="165" fontId="0" fillId="0" borderId="0" xfId="0" applyNumberFormat="1" applyFill="1" applyBorder="1" applyAlignment="1" applyProtection="1">
      <alignment horizontal="center"/>
    </xf>
    <xf numFmtId="165" fontId="0" fillId="0" borderId="0" xfId="0" applyNumberFormat="1" applyFill="1" applyBorder="1" applyAlignment="1" applyProtection="1"/>
    <xf numFmtId="165" fontId="1" fillId="10" borderId="11" xfId="0" applyNumberFormat="1" applyFont="1" applyFill="1" applyBorder="1" applyAlignment="1" applyProtection="1"/>
    <xf numFmtId="0" fontId="0" fillId="0" borderId="5" xfId="0" applyBorder="1" applyProtection="1"/>
    <xf numFmtId="0" fontId="0" fillId="0" borderId="4" xfId="0" applyBorder="1" applyAlignment="1" applyProtection="1">
      <alignment horizontal="center" wrapText="1"/>
    </xf>
    <xf numFmtId="0" fontId="0" fillId="0" borderId="1" xfId="0" applyFill="1" applyBorder="1" applyAlignment="1" applyProtection="1">
      <alignment horizontal="center" vertical="center"/>
    </xf>
    <xf numFmtId="0" fontId="0" fillId="0" borderId="4" xfId="0" applyBorder="1" applyAlignment="1" applyProtection="1">
      <alignment horizontal="center" vertical="center"/>
    </xf>
    <xf numFmtId="0" fontId="0" fillId="0" borderId="17" xfId="0" applyBorder="1" applyAlignment="1" applyProtection="1">
      <alignment horizontal="left" indent="2"/>
    </xf>
    <xf numFmtId="165" fontId="0" fillId="0" borderId="4" xfId="0" applyNumberFormat="1" applyBorder="1" applyAlignment="1" applyProtection="1">
      <alignment horizontal="center"/>
    </xf>
    <xf numFmtId="0" fontId="0" fillId="0" borderId="4" xfId="0" applyNumberFormat="1" applyBorder="1" applyProtection="1"/>
    <xf numFmtId="0" fontId="0" fillId="0" borderId="1" xfId="0" applyBorder="1" applyAlignment="1" applyProtection="1">
      <alignment horizontal="left" indent="2"/>
    </xf>
    <xf numFmtId="165" fontId="0" fillId="0" borderId="7" xfId="0" applyNumberFormat="1" applyBorder="1" applyAlignment="1" applyProtection="1">
      <alignment horizontal="center"/>
    </xf>
    <xf numFmtId="0" fontId="0" fillId="0" borderId="7" xfId="0" applyNumberFormat="1" applyBorder="1" applyProtection="1"/>
    <xf numFmtId="165" fontId="0" fillId="0" borderId="6" xfId="0" applyNumberFormat="1" applyBorder="1" applyAlignment="1" applyProtection="1">
      <alignment horizontal="center"/>
    </xf>
    <xf numFmtId="0" fontId="0" fillId="0" borderId="5" xfId="0" applyNumberFormat="1" applyBorder="1" applyProtection="1"/>
    <xf numFmtId="165" fontId="0" fillId="0" borderId="5" xfId="0" applyNumberFormat="1" applyBorder="1" applyAlignment="1" applyProtection="1">
      <alignment horizontal="center"/>
    </xf>
    <xf numFmtId="0" fontId="35" fillId="0" borderId="0" xfId="0" applyFont="1" applyProtection="1"/>
    <xf numFmtId="0" fontId="0" fillId="0" borderId="0" xfId="0" applyAlignment="1" applyProtection="1">
      <alignment horizontal="left" indent="1"/>
    </xf>
    <xf numFmtId="0" fontId="0" fillId="0" borderId="0" xfId="0" applyBorder="1" applyAlignment="1" applyProtection="1">
      <alignment horizontal="left" indent="1"/>
    </xf>
    <xf numFmtId="165" fontId="0" fillId="0" borderId="10" xfId="0" applyNumberFormat="1" applyBorder="1" applyProtection="1"/>
    <xf numFmtId="165" fontId="0" fillId="0" borderId="10" xfId="0" applyNumberFormat="1" applyFont="1" applyBorder="1" applyProtection="1"/>
    <xf numFmtId="165" fontId="0" fillId="10" borderId="4" xfId="0" applyNumberFormat="1" applyFill="1" applyBorder="1" applyProtection="1"/>
    <xf numFmtId="0" fontId="9" fillId="0" borderId="0" xfId="0" applyFont="1" applyBorder="1" applyProtection="1"/>
    <xf numFmtId="0" fontId="0" fillId="0" borderId="20" xfId="0" applyBorder="1" applyProtection="1"/>
    <xf numFmtId="0" fontId="35" fillId="0" borderId="0" xfId="0" applyFont="1" applyBorder="1" applyProtection="1"/>
    <xf numFmtId="0" fontId="1" fillId="0" borderId="4" xfId="0" applyFont="1" applyBorder="1" applyAlignment="1" applyProtection="1">
      <alignment vertical="center"/>
    </xf>
    <xf numFmtId="0" fontId="0" fillId="0" borderId="4" xfId="0" applyBorder="1" applyAlignment="1" applyProtection="1">
      <alignment horizontal="left" indent="1"/>
    </xf>
    <xf numFmtId="0" fontId="0" fillId="0" borderId="0" xfId="0" applyNumberFormat="1" applyBorder="1" applyProtection="1"/>
    <xf numFmtId="0" fontId="34" fillId="0" borderId="4" xfId="0" applyFont="1" applyBorder="1" applyAlignment="1" applyProtection="1">
      <alignment horizontal="left" indent="1"/>
    </xf>
    <xf numFmtId="0" fontId="1" fillId="0" borderId="0" xfId="0" applyFont="1" applyBorder="1" applyProtection="1"/>
    <xf numFmtId="0" fontId="1" fillId="0" borderId="4" xfId="0" applyFont="1" applyBorder="1" applyAlignment="1" applyProtection="1">
      <alignment horizontal="center" vertical="center" wrapText="1"/>
    </xf>
    <xf numFmtId="0" fontId="15" fillId="0" borderId="19" xfId="0" applyFont="1" applyFill="1" applyBorder="1" applyAlignment="1" applyProtection="1">
      <alignment wrapText="1"/>
    </xf>
    <xf numFmtId="165" fontId="0" fillId="0" borderId="0" xfId="0" applyNumberFormat="1" applyBorder="1" applyAlignment="1" applyProtection="1">
      <alignment horizontal="center"/>
    </xf>
    <xf numFmtId="0" fontId="4" fillId="0" borderId="4" xfId="0" applyFont="1" applyBorder="1" applyAlignment="1" applyProtection="1">
      <alignment horizontal="left" vertical="center" indent="1"/>
    </xf>
    <xf numFmtId="165" fontId="1" fillId="0" borderId="6" xfId="0" applyNumberFormat="1" applyFont="1" applyBorder="1" applyAlignment="1" applyProtection="1">
      <alignment horizontal="center"/>
    </xf>
    <xf numFmtId="0" fontId="0" fillId="0" borderId="0" xfId="0" applyBorder="1" applyAlignment="1" applyProtection="1">
      <alignment horizontal="left" wrapText="1"/>
    </xf>
    <xf numFmtId="0" fontId="15"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4" fillId="0" borderId="4" xfId="0" applyFont="1" applyBorder="1" applyAlignment="1" applyProtection="1">
      <alignment horizontal="left" indent="1"/>
    </xf>
    <xf numFmtId="165" fontId="4" fillId="0" borderId="4" xfId="0" applyNumberFormat="1" applyFont="1" applyBorder="1" applyProtection="1"/>
    <xf numFmtId="0" fontId="1" fillId="0" borderId="4" xfId="0" applyFont="1" applyBorder="1" applyProtection="1"/>
    <xf numFmtId="0" fontId="0" fillId="0" borderId="4" xfId="0" applyBorder="1" applyAlignment="1" applyProtection="1">
      <alignment horizontal="center"/>
    </xf>
    <xf numFmtId="0" fontId="0" fillId="0" borderId="7" xfId="0" applyBorder="1" applyAlignment="1" applyProtection="1">
      <alignment horizontal="center"/>
    </xf>
    <xf numFmtId="0" fontId="4" fillId="0" borderId="18" xfId="0" applyFont="1" applyBorder="1" applyAlignment="1" applyProtection="1">
      <alignment horizontal="center"/>
    </xf>
    <xf numFmtId="165" fontId="4" fillId="0" borderId="7" xfId="0" applyNumberFormat="1" applyFont="1" applyBorder="1" applyProtection="1"/>
    <xf numFmtId="0" fontId="0" fillId="2" borderId="7" xfId="0" applyFill="1" applyBorder="1" applyProtection="1">
      <protection locked="0"/>
    </xf>
    <xf numFmtId="164" fontId="19" fillId="0" borderId="4" xfId="0" applyNumberFormat="1" applyFont="1" applyFill="1" applyBorder="1" applyProtection="1">
      <protection locked="0"/>
    </xf>
    <xf numFmtId="164" fontId="19" fillId="0" borderId="4" xfId="0" applyNumberFormat="1" applyFont="1" applyBorder="1" applyProtection="1">
      <protection locked="0"/>
    </xf>
    <xf numFmtId="0" fontId="22" fillId="0" borderId="17" xfId="0" applyFont="1" applyBorder="1" applyAlignment="1" applyProtection="1">
      <alignment horizontal="right"/>
    </xf>
    <xf numFmtId="0" fontId="19" fillId="0" borderId="4" xfId="0" applyFont="1" applyBorder="1" applyProtection="1"/>
    <xf numFmtId="0" fontId="19" fillId="0" borderId="19" xfId="0" applyFont="1" applyBorder="1" applyAlignment="1" applyProtection="1">
      <alignment horizontal="right"/>
    </xf>
    <xf numFmtId="43" fontId="0" fillId="0" borderId="4" xfId="0" applyNumberFormat="1" applyBorder="1"/>
    <xf numFmtId="0" fontId="1" fillId="0" borderId="23" xfId="0" applyFont="1" applyBorder="1"/>
    <xf numFmtId="0" fontId="1" fillId="5" borderId="24" xfId="0" applyFont="1" applyFill="1" applyBorder="1"/>
    <xf numFmtId="43" fontId="0" fillId="0" borderId="28" xfId="0" applyNumberFormat="1" applyBorder="1"/>
    <xf numFmtId="0" fontId="1" fillId="5" borderId="84" xfId="0" applyFont="1" applyFill="1" applyBorder="1"/>
    <xf numFmtId="0" fontId="1" fillId="0" borderId="84" xfId="0" applyFont="1" applyBorder="1"/>
    <xf numFmtId="0" fontId="19" fillId="0" borderId="4" xfId="0" applyFont="1" applyBorder="1" applyAlignment="1" applyProtection="1">
      <alignment horizontal="right"/>
    </xf>
    <xf numFmtId="0" fontId="19" fillId="0" borderId="4" xfId="0" applyFont="1" applyBorder="1" applyProtection="1"/>
    <xf numFmtId="0" fontId="19" fillId="0" borderId="4" xfId="0" applyFont="1" applyFill="1" applyBorder="1" applyAlignment="1" applyProtection="1">
      <alignment horizontal="right"/>
    </xf>
    <xf numFmtId="165" fontId="19" fillId="0" borderId="4" xfId="0" applyNumberFormat="1" applyFont="1" applyBorder="1" applyAlignment="1" applyProtection="1">
      <alignment horizontal="right"/>
    </xf>
    <xf numFmtId="0" fontId="19" fillId="0" borderId="19" xfId="0" applyFont="1" applyBorder="1" applyAlignment="1" applyProtection="1">
      <alignment horizontal="right"/>
    </xf>
    <xf numFmtId="1" fontId="1" fillId="5" borderId="23" xfId="0" applyNumberFormat="1" applyFont="1" applyFill="1" applyBorder="1"/>
    <xf numFmtId="0" fontId="1" fillId="5" borderId="27" xfId="0" applyFont="1" applyFill="1" applyBorder="1"/>
    <xf numFmtId="0" fontId="0" fillId="5" borderId="28" xfId="0" applyFill="1" applyBorder="1"/>
    <xf numFmtId="0" fontId="19" fillId="0" borderId="0" xfId="0" applyFont="1" applyFill="1" applyAlignment="1" applyProtection="1"/>
    <xf numFmtId="164" fontId="21" fillId="2" borderId="0" xfId="0" applyNumberFormat="1" applyFont="1" applyFill="1" applyProtection="1">
      <protection locked="0"/>
    </xf>
    <xf numFmtId="0" fontId="22" fillId="0" borderId="0" xfId="0" applyFont="1" applyProtection="1"/>
    <xf numFmtId="0" fontId="21" fillId="0" borderId="5" xfId="0" applyFont="1" applyBorder="1" applyAlignment="1" applyProtection="1">
      <alignment horizontal="right"/>
    </xf>
    <xf numFmtId="0" fontId="22" fillId="0" borderId="5" xfId="0" applyFont="1" applyBorder="1" applyAlignment="1" applyProtection="1">
      <alignment horizontal="right"/>
    </xf>
    <xf numFmtId="0" fontId="22" fillId="0" borderId="7" xfId="0" applyFont="1" applyBorder="1" applyAlignment="1" applyProtection="1">
      <alignment horizontal="right"/>
    </xf>
    <xf numFmtId="0" fontId="21" fillId="0" borderId="7" xfId="0" applyFont="1" applyBorder="1" applyAlignment="1" applyProtection="1">
      <alignment horizontal="right"/>
    </xf>
    <xf numFmtId="14" fontId="19" fillId="2" borderId="4" xfId="0" applyNumberFormat="1" applyFont="1" applyFill="1" applyBorder="1" applyProtection="1">
      <protection locked="0"/>
    </xf>
    <xf numFmtId="1" fontId="19" fillId="0" borderId="4" xfId="0" applyNumberFormat="1" applyFont="1" applyBorder="1" applyProtection="1"/>
    <xf numFmtId="0" fontId="19" fillId="4" borderId="4" xfId="0" applyFont="1" applyFill="1" applyBorder="1" applyAlignment="1" applyProtection="1">
      <alignment horizontal="right"/>
    </xf>
    <xf numFmtId="0" fontId="21" fillId="2" borderId="4" xfId="0" applyFont="1" applyFill="1" applyBorder="1" applyAlignment="1" applyProtection="1">
      <alignment horizontal="right"/>
      <protection locked="0"/>
    </xf>
    <xf numFmtId="0" fontId="37" fillId="0" borderId="0" xfId="0" applyFont="1" applyProtection="1"/>
    <xf numFmtId="164" fontId="2" fillId="0" borderId="0" xfId="0" applyNumberFormat="1" applyFont="1" applyProtection="1"/>
    <xf numFmtId="0" fontId="2" fillId="0" borderId="19" xfId="0" applyFont="1" applyBorder="1" applyAlignment="1" applyProtection="1">
      <alignment horizontal="right"/>
    </xf>
    <xf numFmtId="165" fontId="19" fillId="0" borderId="45" xfId="0" applyNumberFormat="1" applyFont="1" applyBorder="1" applyProtection="1"/>
    <xf numFmtId="165" fontId="19" fillId="0" borderId="0" xfId="0" applyNumberFormat="1" applyFont="1" applyBorder="1" applyAlignment="1" applyProtection="1">
      <alignment wrapText="1"/>
    </xf>
    <xf numFmtId="165" fontId="19" fillId="0" borderId="12" xfId="0" applyNumberFormat="1" applyFont="1" applyBorder="1" applyAlignment="1" applyProtection="1"/>
    <xf numFmtId="165" fontId="20" fillId="0" borderId="18" xfId="0" applyNumberFormat="1" applyFont="1" applyBorder="1" applyProtection="1"/>
    <xf numFmtId="0" fontId="19" fillId="0" borderId="0" xfId="0" applyFont="1" applyAlignment="1" applyProtection="1">
      <alignment horizontal="center" vertical="center"/>
    </xf>
    <xf numFmtId="0" fontId="28" fillId="0" borderId="0" xfId="0" applyFont="1" applyAlignment="1" applyProtection="1">
      <alignment horizontal="right"/>
    </xf>
    <xf numFmtId="165" fontId="0" fillId="0" borderId="0" xfId="0" applyNumberFormat="1" applyFont="1" applyProtection="1"/>
    <xf numFmtId="0" fontId="0" fillId="0" borderId="93" xfId="0" applyBorder="1"/>
    <xf numFmtId="14" fontId="2" fillId="0" borderId="0" xfId="0" applyNumberFormat="1" applyFont="1" applyBorder="1" applyProtection="1"/>
    <xf numFmtId="0" fontId="0" fillId="0" borderId="94" xfId="0" applyFill="1" applyBorder="1"/>
    <xf numFmtId="1" fontId="1" fillId="5" borderId="24" xfId="0" applyNumberFormat="1" applyFont="1" applyFill="1" applyBorder="1"/>
    <xf numFmtId="0" fontId="0" fillId="0" borderId="28" xfId="0" applyBorder="1"/>
    <xf numFmtId="0" fontId="13" fillId="0" borderId="29" xfId="0" applyFont="1" applyBorder="1"/>
    <xf numFmtId="0" fontId="13" fillId="5" borderId="29" xfId="0" applyFont="1" applyFill="1" applyBorder="1"/>
    <xf numFmtId="0" fontId="13" fillId="0" borderId="26" xfId="0" applyFont="1" applyBorder="1"/>
    <xf numFmtId="0" fontId="19" fillId="0" borderId="28" xfId="0" applyFont="1" applyBorder="1"/>
    <xf numFmtId="0" fontId="19" fillId="0" borderId="4" xfId="0" applyFont="1" applyBorder="1"/>
    <xf numFmtId="165" fontId="0" fillId="0" borderId="0" xfId="0" applyNumberFormat="1" applyProtection="1">
      <protection locked="0"/>
    </xf>
    <xf numFmtId="0" fontId="19" fillId="0" borderId="0" xfId="0" applyFont="1" applyProtection="1"/>
    <xf numFmtId="165" fontId="19" fillId="0" borderId="4" xfId="0" applyNumberFormat="1" applyFont="1" applyBorder="1"/>
    <xf numFmtId="0" fontId="19" fillId="5" borderId="28" xfId="0" applyFont="1" applyFill="1" applyBorder="1"/>
    <xf numFmtId="0" fontId="1" fillId="0" borderId="78" xfId="0" applyFont="1" applyBorder="1"/>
    <xf numFmtId="0" fontId="1" fillId="0" borderId="79" xfId="0" applyFont="1" applyBorder="1"/>
    <xf numFmtId="0" fontId="1" fillId="0" borderId="80" xfId="0" applyFont="1" applyBorder="1"/>
    <xf numFmtId="0" fontId="0" fillId="5" borderId="95" xfId="0" applyFont="1" applyFill="1" applyBorder="1"/>
    <xf numFmtId="0" fontId="0" fillId="0" borderId="18" xfId="0" applyFont="1" applyBorder="1"/>
    <xf numFmtId="0" fontId="0" fillId="5" borderId="7" xfId="0" applyFont="1" applyFill="1" applyBorder="1"/>
    <xf numFmtId="0" fontId="0" fillId="0" borderId="7" xfId="0" applyFont="1" applyBorder="1"/>
    <xf numFmtId="0" fontId="0" fillId="5" borderId="88" xfId="0" applyFont="1" applyFill="1" applyBorder="1"/>
    <xf numFmtId="0" fontId="0" fillId="0" borderId="96" xfId="0" applyFont="1" applyBorder="1"/>
    <xf numFmtId="0" fontId="0" fillId="0" borderId="3" xfId="0" applyFont="1" applyBorder="1"/>
    <xf numFmtId="0" fontId="0" fillId="0" borderId="4" xfId="0" applyFont="1" applyBorder="1"/>
    <xf numFmtId="0" fontId="0" fillId="0" borderId="26" xfId="0" applyFont="1" applyBorder="1"/>
    <xf numFmtId="0" fontId="0" fillId="0" borderId="97" xfId="0" applyFont="1" applyBorder="1"/>
    <xf numFmtId="0" fontId="0" fillId="0" borderId="52" xfId="0" applyFont="1" applyBorder="1"/>
    <xf numFmtId="0" fontId="0" fillId="0" borderId="28" xfId="0" applyFont="1" applyBorder="1"/>
    <xf numFmtId="0" fontId="0" fillId="0" borderId="29" xfId="0" applyFont="1" applyBorder="1"/>
    <xf numFmtId="0" fontId="1" fillId="0" borderId="0" xfId="0" applyFont="1" applyBorder="1"/>
    <xf numFmtId="0" fontId="0" fillId="5" borderId="0" xfId="0" applyFont="1" applyFill="1" applyBorder="1"/>
    <xf numFmtId="0" fontId="0" fillId="0" borderId="0" xfId="0" applyFont="1" applyBorder="1"/>
    <xf numFmtId="0" fontId="0" fillId="0" borderId="0" xfId="0" applyAlignment="1">
      <alignment horizontal="right"/>
    </xf>
    <xf numFmtId="0" fontId="0" fillId="0" borderId="0" xfId="0" quotePrefix="1"/>
    <xf numFmtId="0" fontId="0" fillId="0" borderId="11" xfId="0" applyBorder="1"/>
    <xf numFmtId="0" fontId="0" fillId="0" borderId="4" xfId="0" quotePrefix="1" applyBorder="1"/>
    <xf numFmtId="0" fontId="0" fillId="0" borderId="4" xfId="0" quotePrefix="1" applyFill="1" applyBorder="1"/>
    <xf numFmtId="0" fontId="1" fillId="0" borderId="4" xfId="0" quotePrefix="1" applyFont="1" applyBorder="1"/>
    <xf numFmtId="17" fontId="1" fillId="0" borderId="4" xfId="0" applyNumberFormat="1" applyFont="1" applyBorder="1"/>
    <xf numFmtId="0" fontId="1" fillId="0" borderId="4" xfId="0" applyFont="1" applyBorder="1" applyAlignment="1">
      <alignment horizontal="right"/>
    </xf>
    <xf numFmtId="0" fontId="1" fillId="0" borderId="4" xfId="0" applyFont="1" applyBorder="1"/>
    <xf numFmtId="0" fontId="36" fillId="0" borderId="0" xfId="0" applyFont="1" applyBorder="1" applyAlignment="1" applyProtection="1">
      <alignment horizontal="center" vertical="center" wrapText="1"/>
    </xf>
    <xf numFmtId="0" fontId="19" fillId="0" borderId="4" xfId="0" applyFont="1" applyBorder="1" applyAlignment="1" applyProtection="1">
      <alignment horizontal="right"/>
    </xf>
    <xf numFmtId="0" fontId="19" fillId="2" borderId="0" xfId="0" applyFont="1" applyFill="1" applyAlignment="1" applyProtection="1">
      <alignment horizontal="center"/>
      <protection locked="0"/>
    </xf>
    <xf numFmtId="0" fontId="19" fillId="0" borderId="0" xfId="0" applyFont="1" applyAlignment="1" applyProtection="1">
      <alignment horizontal="right"/>
    </xf>
    <xf numFmtId="0" fontId="19" fillId="0" borderId="0" xfId="0" applyFont="1" applyFill="1" applyAlignment="1" applyProtection="1">
      <alignment horizontal="right"/>
    </xf>
    <xf numFmtId="0" fontId="20" fillId="0" borderId="0" xfId="0" applyFont="1" applyAlignment="1" applyProtection="1">
      <alignment horizontal="right"/>
    </xf>
    <xf numFmtId="0" fontId="19" fillId="2" borderId="1" xfId="0" applyFont="1" applyFill="1" applyBorder="1" applyAlignment="1" applyProtection="1">
      <alignment horizontal="right"/>
      <protection locked="0"/>
    </xf>
    <xf numFmtId="0" fontId="19" fillId="2" borderId="2" xfId="0" applyFont="1" applyFill="1" applyBorder="1" applyAlignment="1" applyProtection="1">
      <alignment horizontal="right"/>
      <protection locked="0"/>
    </xf>
    <xf numFmtId="0" fontId="19" fillId="2" borderId="3" xfId="0" applyFont="1" applyFill="1" applyBorder="1" applyAlignment="1" applyProtection="1">
      <alignment horizontal="right"/>
      <protection locked="0"/>
    </xf>
    <xf numFmtId="0" fontId="23" fillId="0" borderId="0" xfId="0" applyFont="1" applyAlignment="1" applyProtection="1">
      <alignment horizontal="right"/>
    </xf>
    <xf numFmtId="0" fontId="20" fillId="0" borderId="0" xfId="0" applyFont="1" applyAlignment="1" applyProtection="1">
      <alignment horizontal="center" vertical="center" wrapText="1"/>
    </xf>
    <xf numFmtId="0" fontId="24" fillId="2" borderId="1" xfId="0" applyFont="1" applyFill="1" applyBorder="1" applyAlignment="1" applyProtection="1">
      <alignment horizontal="right"/>
      <protection locked="0"/>
    </xf>
    <xf numFmtId="0" fontId="24" fillId="2" borderId="2" xfId="0" applyFont="1" applyFill="1" applyBorder="1" applyAlignment="1" applyProtection="1">
      <alignment horizontal="right"/>
      <protection locked="0"/>
    </xf>
    <xf numFmtId="0" fontId="24" fillId="2" borderId="3" xfId="0" applyFont="1" applyFill="1" applyBorder="1" applyAlignment="1" applyProtection="1">
      <alignment horizontal="right"/>
      <protection locked="0"/>
    </xf>
    <xf numFmtId="0" fontId="21" fillId="0" borderId="11" xfId="0" applyFont="1" applyBorder="1" applyAlignment="1" applyProtection="1">
      <alignment horizontal="right"/>
    </xf>
    <xf numFmtId="0" fontId="21" fillId="0" borderId="21" xfId="0" applyFont="1" applyBorder="1" applyAlignment="1" applyProtection="1">
      <alignment horizontal="right"/>
    </xf>
    <xf numFmtId="0" fontId="21" fillId="0" borderId="12" xfId="0" applyFont="1" applyBorder="1" applyAlignment="1" applyProtection="1">
      <alignment horizontal="right"/>
    </xf>
    <xf numFmtId="14" fontId="21" fillId="0" borderId="17" xfId="0" applyNumberFormat="1" applyFont="1" applyBorder="1" applyAlignment="1" applyProtection="1">
      <alignment horizontal="right"/>
    </xf>
    <xf numFmtId="14" fontId="21" fillId="0" borderId="10" xfId="0" applyNumberFormat="1" applyFont="1" applyBorder="1" applyAlignment="1" applyProtection="1">
      <alignment horizontal="right"/>
    </xf>
    <xf numFmtId="14" fontId="21" fillId="0" borderId="18" xfId="0" applyNumberFormat="1" applyFont="1" applyBorder="1" applyAlignment="1" applyProtection="1">
      <alignment horizontal="right"/>
    </xf>
    <xf numFmtId="0" fontId="0" fillId="0" borderId="0" xfId="0" applyAlignment="1">
      <alignment horizontal="left" wrapText="1"/>
    </xf>
    <xf numFmtId="165" fontId="0" fillId="0" borderId="72" xfId="0" applyNumberFormat="1" applyFill="1" applyBorder="1" applyAlignment="1">
      <alignment horizontal="left" wrapText="1"/>
    </xf>
    <xf numFmtId="165" fontId="0" fillId="0" borderId="0" xfId="0" applyNumberFormat="1" applyFill="1" applyBorder="1" applyAlignment="1">
      <alignment horizontal="left" wrapText="1"/>
    </xf>
    <xf numFmtId="44" fontId="0" fillId="6" borderId="86" xfId="0" applyNumberFormat="1" applyFill="1" applyBorder="1" applyAlignment="1" applyProtection="1">
      <alignment horizontal="center" vertical="center"/>
      <protection locked="0"/>
    </xf>
    <xf numFmtId="44" fontId="0" fillId="6" borderId="88" xfId="0" applyNumberFormat="1" applyFill="1" applyBorder="1" applyAlignment="1" applyProtection="1">
      <alignment horizontal="center" vertical="center"/>
      <protection locked="0"/>
    </xf>
    <xf numFmtId="0" fontId="0" fillId="3" borderId="22" xfId="0" applyFill="1" applyBorder="1"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44" fontId="0" fillId="6" borderId="27" xfId="0" applyNumberFormat="1" applyFill="1" applyBorder="1" applyAlignment="1" applyProtection="1">
      <alignment horizontal="right"/>
      <protection locked="0"/>
    </xf>
    <xf numFmtId="44" fontId="0" fillId="6" borderId="28" xfId="0" applyNumberFormat="1" applyFill="1" applyBorder="1" applyAlignment="1" applyProtection="1">
      <alignment horizontal="right"/>
      <protection locked="0"/>
    </xf>
    <xf numFmtId="44" fontId="0" fillId="6" borderId="29" xfId="0" applyNumberFormat="1" applyFill="1" applyBorder="1" applyAlignment="1" applyProtection="1">
      <alignment horizontal="right"/>
      <protection locked="0"/>
    </xf>
    <xf numFmtId="0" fontId="19" fillId="3" borderId="85" xfId="0" applyFont="1" applyFill="1" applyBorder="1" applyAlignment="1">
      <alignment horizontal="center"/>
    </xf>
    <xf numFmtId="0" fontId="19" fillId="3" borderId="87" xfId="0" applyFont="1" applyFill="1" applyBorder="1" applyAlignment="1">
      <alignment horizontal="center"/>
    </xf>
    <xf numFmtId="0" fontId="19" fillId="3" borderId="23" xfId="0" applyFont="1" applyFill="1" applyBorder="1" applyAlignment="1">
      <alignment horizontal="center"/>
    </xf>
    <xf numFmtId="0" fontId="19" fillId="3" borderId="24" xfId="0" applyFont="1" applyFill="1" applyBorder="1" applyAlignment="1">
      <alignment horizontal="center"/>
    </xf>
    <xf numFmtId="0" fontId="0" fillId="3" borderId="85" xfId="0" applyFill="1" applyBorder="1" applyAlignment="1">
      <alignment horizontal="center" vertical="center"/>
    </xf>
    <xf numFmtId="0" fontId="0" fillId="3" borderId="87" xfId="0" applyFill="1" applyBorder="1" applyAlignment="1">
      <alignment horizontal="center" vertical="center"/>
    </xf>
    <xf numFmtId="0" fontId="0" fillId="3" borderId="25" xfId="0" applyFill="1" applyBorder="1" applyAlignment="1">
      <alignment horizontal="left" vertical="center" wrapText="1"/>
    </xf>
    <xf numFmtId="1" fontId="0" fillId="6" borderId="44" xfId="0" applyNumberFormat="1" applyFill="1" applyBorder="1" applyAlignment="1" applyProtection="1">
      <alignment horizontal="center" vertical="center"/>
      <protection locked="0"/>
    </xf>
    <xf numFmtId="1" fontId="0" fillId="6" borderId="91" xfId="0" applyNumberFormat="1" applyFill="1" applyBorder="1" applyAlignment="1" applyProtection="1">
      <alignment horizontal="center" vertical="center"/>
      <protection locked="0"/>
    </xf>
    <xf numFmtId="1" fontId="0" fillId="6" borderId="88" xfId="0" applyNumberFormat="1" applyFill="1" applyBorder="1" applyAlignment="1" applyProtection="1">
      <alignment horizontal="center" vertical="center"/>
      <protection locked="0"/>
    </xf>
    <xf numFmtId="0" fontId="0" fillId="3" borderId="22" xfId="0" applyFill="1" applyBorder="1" applyAlignment="1">
      <alignment horizontal="center" wrapText="1"/>
    </xf>
    <xf numFmtId="0" fontId="0" fillId="3" borderId="24" xfId="0" applyFill="1" applyBorder="1" applyAlignment="1">
      <alignment horizontal="center" wrapText="1"/>
    </xf>
    <xf numFmtId="0" fontId="0" fillId="3" borderId="25" xfId="0" applyFill="1" applyBorder="1" applyAlignment="1">
      <alignment horizontal="center" wrapText="1"/>
    </xf>
    <xf numFmtId="0" fontId="0" fillId="3" borderId="26" xfId="0" applyFill="1" applyBorder="1" applyAlignment="1">
      <alignment horizontal="center" wrapText="1"/>
    </xf>
    <xf numFmtId="0" fontId="0" fillId="3" borderId="25" xfId="0" applyFill="1" applyBorder="1" applyAlignment="1">
      <alignment horizontal="center" vertical="center" wrapText="1"/>
    </xf>
    <xf numFmtId="0" fontId="0" fillId="3" borderId="27" xfId="0" applyFill="1" applyBorder="1" applyAlignment="1">
      <alignment horizontal="center" vertical="center" wrapText="1"/>
    </xf>
    <xf numFmtId="49" fontId="0" fillId="6" borderId="44" xfId="0" applyNumberFormat="1" applyFill="1" applyBorder="1" applyAlignment="1" applyProtection="1">
      <alignment horizontal="center" vertical="center"/>
      <protection locked="0"/>
    </xf>
    <xf numFmtId="49" fontId="0" fillId="6" borderId="91" xfId="0" applyNumberFormat="1" applyFill="1" applyBorder="1" applyAlignment="1" applyProtection="1">
      <alignment horizontal="center" vertical="center"/>
      <protection locked="0"/>
    </xf>
    <xf numFmtId="49" fontId="0" fillId="6" borderId="92" xfId="0" applyNumberFormat="1" applyFill="1" applyBorder="1" applyAlignment="1" applyProtection="1">
      <alignment horizontal="center" vertical="center"/>
      <protection locked="0"/>
    </xf>
    <xf numFmtId="165" fontId="25" fillId="0" borderId="11" xfId="0" applyNumberFormat="1" applyFont="1" applyFill="1" applyBorder="1" applyAlignment="1" applyProtection="1">
      <alignment horizontal="center"/>
    </xf>
    <xf numFmtId="165" fontId="25" fillId="0" borderId="12" xfId="0" applyNumberFormat="1" applyFont="1" applyFill="1" applyBorder="1" applyAlignment="1" applyProtection="1">
      <alignment horizontal="center"/>
    </xf>
    <xf numFmtId="0" fontId="21" fillId="0" borderId="17" xfId="0" applyFont="1" applyBorder="1" applyAlignment="1" applyProtection="1">
      <alignment horizontal="center"/>
    </xf>
    <xf numFmtId="0" fontId="21" fillId="0" borderId="18" xfId="0" applyFont="1" applyBorder="1" applyAlignment="1" applyProtection="1">
      <alignment horizontal="center"/>
    </xf>
    <xf numFmtId="0" fontId="19" fillId="0" borderId="5" xfId="0" applyFont="1" applyBorder="1" applyAlignment="1" applyProtection="1">
      <alignment horizontal="right" vertical="center" wrapText="1"/>
    </xf>
    <xf numFmtId="0" fontId="19" fillId="0" borderId="6" xfId="0" applyFont="1" applyBorder="1" applyAlignment="1" applyProtection="1">
      <alignment horizontal="right" vertical="center" wrapText="1"/>
    </xf>
    <xf numFmtId="0" fontId="19" fillId="0" borderId="7" xfId="0" applyFont="1" applyBorder="1" applyAlignment="1" applyProtection="1">
      <alignment horizontal="right" vertical="center" wrapText="1"/>
    </xf>
    <xf numFmtId="0" fontId="19" fillId="0" borderId="17" xfId="0" applyFont="1" applyFill="1" applyBorder="1" applyAlignment="1" applyProtection="1">
      <alignment horizontal="right"/>
    </xf>
    <xf numFmtId="0" fontId="19" fillId="0" borderId="18" xfId="0" applyFont="1" applyFill="1" applyBorder="1" applyAlignment="1" applyProtection="1">
      <alignment horizontal="right"/>
    </xf>
    <xf numFmtId="0" fontId="22" fillId="0" borderId="17" xfId="0" applyFont="1" applyBorder="1" applyAlignment="1" applyProtection="1">
      <alignment horizontal="right"/>
    </xf>
    <xf numFmtId="0" fontId="22" fillId="0" borderId="18" xfId="0" applyFont="1" applyBorder="1" applyAlignment="1" applyProtection="1">
      <alignment horizontal="right"/>
    </xf>
    <xf numFmtId="0" fontId="21" fillId="0" borderId="48" xfId="0" applyFont="1" applyBorder="1" applyAlignment="1" applyProtection="1">
      <alignment horizontal="right"/>
    </xf>
    <xf numFmtId="0" fontId="21" fillId="0" borderId="49" xfId="0" applyFont="1" applyBorder="1" applyAlignment="1" applyProtection="1">
      <alignment horizontal="right"/>
    </xf>
    <xf numFmtId="0" fontId="21" fillId="0" borderId="33" xfId="0" applyFont="1" applyBorder="1" applyAlignment="1" applyProtection="1">
      <alignment horizontal="right"/>
    </xf>
    <xf numFmtId="0" fontId="19" fillId="0" borderId="1" xfId="0" applyFont="1" applyBorder="1" applyAlignment="1" applyProtection="1">
      <alignment horizontal="right"/>
    </xf>
    <xf numFmtId="0" fontId="19" fillId="0" borderId="3" xfId="0" applyFont="1" applyBorder="1" applyAlignment="1" applyProtection="1">
      <alignment horizontal="right"/>
    </xf>
    <xf numFmtId="0" fontId="25" fillId="0" borderId="11" xfId="0" applyFont="1" applyFill="1" applyBorder="1" applyAlignment="1" applyProtection="1">
      <alignment horizontal="right"/>
    </xf>
    <xf numFmtId="0" fontId="25" fillId="0" borderId="12" xfId="0" applyFont="1" applyFill="1" applyBorder="1" applyAlignment="1" applyProtection="1">
      <alignment horizontal="right"/>
    </xf>
    <xf numFmtId="0" fontId="21" fillId="0" borderId="4" xfId="0" applyFont="1" applyBorder="1" applyAlignment="1" applyProtection="1">
      <alignment horizontal="right"/>
    </xf>
    <xf numFmtId="0" fontId="21" fillId="0" borderId="1" xfId="0" applyFont="1" applyBorder="1" applyAlignment="1" applyProtection="1">
      <alignment horizontal="right"/>
    </xf>
    <xf numFmtId="0" fontId="21" fillId="0" borderId="3" xfId="0" applyFont="1" applyBorder="1" applyAlignment="1" applyProtection="1">
      <alignment horizontal="right"/>
    </xf>
    <xf numFmtId="0" fontId="19" fillId="0" borderId="34" xfId="0" applyFont="1" applyBorder="1" applyAlignment="1" applyProtection="1">
      <alignment horizontal="right"/>
    </xf>
    <xf numFmtId="0" fontId="19" fillId="0" borderId="35" xfId="0" applyFont="1" applyBorder="1" applyAlignment="1" applyProtection="1">
      <alignment horizontal="right"/>
    </xf>
    <xf numFmtId="0" fontId="21" fillId="0" borderId="34" xfId="0" applyFont="1" applyBorder="1" applyAlignment="1" applyProtection="1">
      <alignment horizontal="right"/>
    </xf>
    <xf numFmtId="0" fontId="21" fillId="0" borderId="35" xfId="0" applyFont="1" applyBorder="1" applyAlignment="1" applyProtection="1">
      <alignment horizontal="right"/>
    </xf>
    <xf numFmtId="0" fontId="21" fillId="0" borderId="46" xfId="0" applyFont="1" applyBorder="1" applyAlignment="1" applyProtection="1">
      <alignment horizontal="right"/>
    </xf>
    <xf numFmtId="0" fontId="21" fillId="0" borderId="47" xfId="0" applyFont="1" applyBorder="1" applyAlignment="1" applyProtection="1">
      <alignment horizontal="right"/>
    </xf>
    <xf numFmtId="0" fontId="19" fillId="0" borderId="15" xfId="0" applyFont="1" applyFill="1" applyBorder="1" applyAlignment="1" applyProtection="1">
      <alignment horizontal="right"/>
    </xf>
    <xf numFmtId="0" fontId="19" fillId="0" borderId="16" xfId="0" applyFont="1" applyFill="1" applyBorder="1" applyAlignment="1" applyProtection="1">
      <alignment horizontal="right"/>
    </xf>
    <xf numFmtId="0" fontId="22" fillId="0" borderId="13" xfId="0" applyFont="1" applyFill="1" applyBorder="1" applyAlignment="1" applyProtection="1">
      <alignment horizontal="right"/>
    </xf>
    <xf numFmtId="0" fontId="22" fillId="0" borderId="14" xfId="0" applyFont="1" applyFill="1" applyBorder="1" applyAlignment="1" applyProtection="1">
      <alignment horizontal="right"/>
    </xf>
    <xf numFmtId="0" fontId="22" fillId="0" borderId="15" xfId="0" applyFont="1" applyBorder="1" applyAlignment="1" applyProtection="1">
      <alignment horizontal="right"/>
    </xf>
    <xf numFmtId="0" fontId="22" fillId="0" borderId="16" xfId="0" applyFont="1" applyBorder="1" applyAlignment="1" applyProtection="1">
      <alignment horizontal="right"/>
    </xf>
    <xf numFmtId="0" fontId="25" fillId="0" borderId="13" xfId="0" applyFont="1" applyFill="1" applyBorder="1" applyAlignment="1" applyProtection="1">
      <alignment horizontal="right"/>
    </xf>
    <xf numFmtId="0" fontId="25" fillId="0" borderId="14" xfId="0" applyFont="1" applyFill="1" applyBorder="1" applyAlignment="1" applyProtection="1">
      <alignment horizontal="right"/>
    </xf>
    <xf numFmtId="0" fontId="22" fillId="0" borderId="13" xfId="0" applyFont="1" applyBorder="1" applyAlignment="1" applyProtection="1">
      <alignment horizontal="right"/>
    </xf>
    <xf numFmtId="0" fontId="22" fillId="0" borderId="14" xfId="0" applyFont="1" applyBorder="1" applyAlignment="1" applyProtection="1">
      <alignment horizontal="right"/>
    </xf>
    <xf numFmtId="0" fontId="29" fillId="0" borderId="11" xfId="0" applyFont="1" applyBorder="1" applyAlignment="1" applyProtection="1">
      <alignment horizontal="right"/>
    </xf>
    <xf numFmtId="0" fontId="29" fillId="0" borderId="12" xfId="0" applyFont="1" applyBorder="1" applyAlignment="1" applyProtection="1">
      <alignment horizontal="right"/>
    </xf>
    <xf numFmtId="0" fontId="24" fillId="0" borderId="34" xfId="0" applyFont="1" applyFill="1" applyBorder="1" applyAlignment="1" applyProtection="1">
      <alignment horizontal="right"/>
    </xf>
    <xf numFmtId="0" fontId="24" fillId="0" borderId="35" xfId="0" applyFont="1" applyFill="1" applyBorder="1" applyAlignment="1" applyProtection="1">
      <alignment horizontal="right"/>
    </xf>
    <xf numFmtId="0" fontId="19" fillId="3" borderId="4" xfId="0" applyFont="1" applyFill="1" applyBorder="1" applyAlignment="1" applyProtection="1">
      <alignment horizontal="right"/>
    </xf>
    <xf numFmtId="0" fontId="20" fillId="3" borderId="4" xfId="0" applyFont="1" applyFill="1" applyBorder="1" applyAlignment="1" applyProtection="1">
      <alignment horizontal="right"/>
    </xf>
    <xf numFmtId="0" fontId="20" fillId="0" borderId="10" xfId="0" applyFont="1" applyBorder="1" applyAlignment="1" applyProtection="1">
      <alignment horizontal="right"/>
    </xf>
    <xf numFmtId="0" fontId="19" fillId="0" borderId="4" xfId="0" applyFont="1" applyFill="1" applyBorder="1" applyAlignment="1" applyProtection="1">
      <alignment horizontal="right"/>
    </xf>
    <xf numFmtId="0" fontId="19" fillId="0" borderId="11" xfId="0" applyFont="1" applyBorder="1" applyAlignment="1" applyProtection="1">
      <alignment horizontal="right"/>
    </xf>
    <xf numFmtId="0" fontId="19" fillId="0" borderId="12" xfId="0" applyFont="1" applyBorder="1" applyAlignment="1" applyProtection="1">
      <alignment horizontal="right"/>
    </xf>
    <xf numFmtId="0" fontId="19" fillId="0" borderId="17" xfId="0" applyFont="1" applyBorder="1" applyAlignment="1" applyProtection="1">
      <alignment horizontal="right"/>
    </xf>
    <xf numFmtId="0" fontId="19" fillId="0" borderId="18" xfId="0" applyFont="1" applyBorder="1" applyAlignment="1" applyProtection="1">
      <alignment horizontal="right"/>
    </xf>
    <xf numFmtId="0" fontId="19" fillId="0" borderId="7" xfId="0" applyFont="1" applyBorder="1" applyAlignment="1" applyProtection="1">
      <alignment horizontal="right"/>
    </xf>
    <xf numFmtId="0" fontId="19" fillId="0" borderId="5" xfId="0" applyFont="1" applyBorder="1" applyAlignment="1" applyProtection="1">
      <alignment horizontal="right"/>
    </xf>
    <xf numFmtId="165" fontId="19" fillId="2" borderId="5" xfId="0" applyNumberFormat="1" applyFont="1" applyFill="1" applyBorder="1" applyAlignment="1" applyProtection="1">
      <alignment horizontal="right"/>
      <protection locked="0"/>
    </xf>
    <xf numFmtId="165" fontId="19" fillId="2" borderId="7" xfId="0" applyNumberFormat="1" applyFont="1" applyFill="1" applyBorder="1" applyAlignment="1" applyProtection="1">
      <alignment horizontal="right"/>
      <protection locked="0"/>
    </xf>
    <xf numFmtId="0" fontId="22" fillId="0" borderId="15" xfId="0" applyFont="1" applyFill="1" applyBorder="1" applyAlignment="1" applyProtection="1">
      <alignment horizontal="right"/>
    </xf>
    <xf numFmtId="0" fontId="22" fillId="0" borderId="16" xfId="0" applyFont="1" applyFill="1" applyBorder="1" applyAlignment="1" applyProtection="1">
      <alignment horizontal="right"/>
    </xf>
    <xf numFmtId="0" fontId="20" fillId="0" borderId="10" xfId="0" applyFont="1" applyBorder="1" applyAlignment="1" applyProtection="1">
      <alignment horizontal="center"/>
    </xf>
    <xf numFmtId="0" fontId="20" fillId="0" borderId="4" xfId="0" applyFont="1" applyBorder="1" applyAlignment="1" applyProtection="1">
      <alignment horizontal="right"/>
    </xf>
    <xf numFmtId="0" fontId="25" fillId="0" borderId="8" xfId="0" applyFont="1" applyBorder="1" applyAlignment="1" applyProtection="1">
      <alignment horizontal="right" vertical="center" wrapText="1"/>
    </xf>
    <xf numFmtId="0" fontId="21" fillId="0" borderId="9" xfId="0" applyFont="1" applyBorder="1" applyAlignment="1" applyProtection="1">
      <alignment horizontal="right"/>
    </xf>
    <xf numFmtId="0" fontId="25" fillId="0" borderId="7" xfId="0" applyFont="1" applyBorder="1" applyAlignment="1" applyProtection="1">
      <alignment horizontal="right" wrapText="1"/>
    </xf>
    <xf numFmtId="0" fontId="25" fillId="0" borderId="11" xfId="0" applyFont="1" applyBorder="1" applyAlignment="1" applyProtection="1">
      <alignment horizontal="right"/>
    </xf>
    <xf numFmtId="0" fontId="25" fillId="0" borderId="12" xfId="0" applyFont="1" applyBorder="1" applyAlignment="1" applyProtection="1">
      <alignment horizontal="right"/>
    </xf>
    <xf numFmtId="0" fontId="21" fillId="0" borderId="13" xfId="0" applyFont="1" applyBorder="1" applyAlignment="1" applyProtection="1">
      <alignment horizontal="right"/>
    </xf>
    <xf numFmtId="0" fontId="21" fillId="0" borderId="14" xfId="0" applyFont="1" applyBorder="1" applyAlignment="1" applyProtection="1">
      <alignment horizontal="right"/>
    </xf>
    <xf numFmtId="0" fontId="21" fillId="0" borderId="15" xfId="0" applyFont="1" applyBorder="1" applyAlignment="1" applyProtection="1">
      <alignment horizontal="right"/>
    </xf>
    <xf numFmtId="0" fontId="21" fillId="0" borderId="16" xfId="0" applyFont="1" applyBorder="1" applyAlignment="1" applyProtection="1">
      <alignment horizontal="right"/>
    </xf>
    <xf numFmtId="0" fontId="19" fillId="0" borderId="36" xfId="0" applyFont="1" applyBorder="1" applyAlignment="1" applyProtection="1">
      <alignment horizontal="right"/>
    </xf>
    <xf numFmtId="0" fontId="19" fillId="0" borderId="36" xfId="0" applyFont="1" applyFill="1" applyBorder="1" applyAlignment="1" applyProtection="1">
      <alignment horizontal="right"/>
    </xf>
    <xf numFmtId="0" fontId="28" fillId="0" borderId="34" xfId="0" applyFont="1" applyBorder="1" applyAlignment="1" applyProtection="1">
      <alignment horizontal="right"/>
    </xf>
    <xf numFmtId="0" fontId="28" fillId="0" borderId="35" xfId="0" applyFont="1" applyBorder="1" applyAlignment="1" applyProtection="1">
      <alignment horizontal="right"/>
    </xf>
    <xf numFmtId="0" fontId="28" fillId="0" borderId="31" xfId="0" applyFont="1" applyBorder="1" applyAlignment="1" applyProtection="1">
      <alignment horizontal="right"/>
    </xf>
    <xf numFmtId="0" fontId="28" fillId="0" borderId="32" xfId="0" applyFont="1" applyBorder="1" applyAlignment="1" applyProtection="1">
      <alignment horizontal="right"/>
    </xf>
    <xf numFmtId="0" fontId="20" fillId="0" borderId="1" xfId="0" applyFont="1" applyBorder="1" applyAlignment="1" applyProtection="1">
      <alignment horizontal="right"/>
    </xf>
    <xf numFmtId="0" fontId="20" fillId="0" borderId="3" xfId="0" applyFont="1" applyBorder="1" applyAlignment="1" applyProtection="1">
      <alignment horizontal="right"/>
    </xf>
    <xf numFmtId="0" fontId="25" fillId="0" borderId="13" xfId="0" applyFont="1" applyBorder="1" applyAlignment="1" applyProtection="1">
      <alignment horizontal="right"/>
    </xf>
    <xf numFmtId="0" fontId="25" fillId="0" borderId="14" xfId="0" applyFont="1" applyBorder="1" applyAlignment="1" applyProtection="1">
      <alignment horizontal="right"/>
    </xf>
    <xf numFmtId="0" fontId="19" fillId="0" borderId="15" xfId="0" applyFont="1" applyBorder="1" applyAlignment="1" applyProtection="1">
      <alignment horizontal="right"/>
    </xf>
    <xf numFmtId="0" fontId="19" fillId="0" borderId="16" xfId="0" applyFont="1" applyBorder="1" applyAlignment="1" applyProtection="1">
      <alignment horizontal="right"/>
    </xf>
    <xf numFmtId="0" fontId="19" fillId="0" borderId="1" xfId="0" applyFont="1" applyFill="1" applyBorder="1" applyAlignment="1" applyProtection="1">
      <alignment horizontal="right"/>
    </xf>
    <xf numFmtId="0" fontId="19" fillId="0" borderId="3" xfId="0" applyFont="1" applyFill="1" applyBorder="1" applyAlignment="1" applyProtection="1">
      <alignment horizontal="right"/>
    </xf>
    <xf numFmtId="0" fontId="19" fillId="0" borderId="4" xfId="0" applyFont="1" applyBorder="1" applyProtection="1"/>
    <xf numFmtId="0" fontId="31" fillId="0" borderId="0" xfId="0" applyFont="1" applyBorder="1" applyAlignment="1" applyProtection="1">
      <alignment horizontal="right"/>
    </xf>
    <xf numFmtId="0" fontId="25" fillId="0" borderId="4" xfId="0" applyFont="1" applyFill="1" applyBorder="1" applyAlignment="1" applyProtection="1">
      <alignment horizontal="right"/>
    </xf>
    <xf numFmtId="0" fontId="24" fillId="0" borderId="31" xfId="0" applyFont="1" applyFill="1" applyBorder="1" applyAlignment="1" applyProtection="1">
      <alignment horizontal="right"/>
    </xf>
    <xf numFmtId="0" fontId="24" fillId="0" borderId="32" xfId="0" applyFont="1" applyFill="1" applyBorder="1" applyAlignment="1" applyProtection="1">
      <alignment horizontal="right"/>
    </xf>
    <xf numFmtId="0" fontId="20" fillId="3" borderId="1" xfId="0" applyFont="1" applyFill="1" applyBorder="1" applyAlignment="1" applyProtection="1">
      <alignment horizontal="right"/>
    </xf>
    <xf numFmtId="0" fontId="20" fillId="3" borderId="2" xfId="0" applyFont="1" applyFill="1" applyBorder="1" applyAlignment="1" applyProtection="1">
      <alignment horizontal="right"/>
    </xf>
    <xf numFmtId="0" fontId="20" fillId="3" borderId="3" xfId="0" applyFont="1" applyFill="1" applyBorder="1" applyAlignment="1" applyProtection="1">
      <alignment horizontal="right"/>
    </xf>
    <xf numFmtId="0" fontId="19" fillId="3" borderId="1" xfId="0" applyFont="1" applyFill="1" applyBorder="1" applyAlignment="1" applyProtection="1">
      <alignment horizontal="right"/>
    </xf>
    <xf numFmtId="0" fontId="19" fillId="3" borderId="2" xfId="0" applyFont="1" applyFill="1" applyBorder="1" applyAlignment="1" applyProtection="1">
      <alignment horizontal="right"/>
    </xf>
    <xf numFmtId="0" fontId="19" fillId="3" borderId="3" xfId="0" applyFont="1" applyFill="1" applyBorder="1" applyAlignment="1" applyProtection="1">
      <alignment horizontal="right"/>
    </xf>
    <xf numFmtId="0" fontId="19" fillId="2" borderId="5" xfId="0" applyFont="1" applyFill="1" applyBorder="1" applyAlignment="1" applyProtection="1">
      <alignment horizontal="right"/>
      <protection locked="0"/>
    </xf>
    <xf numFmtId="0" fontId="19" fillId="2" borderId="7" xfId="0" applyFont="1" applyFill="1" applyBorder="1" applyAlignment="1" applyProtection="1">
      <alignment horizontal="right"/>
      <protection locked="0"/>
    </xf>
    <xf numFmtId="0" fontId="1" fillId="0" borderId="10" xfId="0" applyFont="1" applyBorder="1" applyAlignment="1" applyProtection="1">
      <alignment horizontal="center"/>
    </xf>
    <xf numFmtId="0" fontId="21" fillId="0" borderId="39" xfId="0" applyFont="1" applyBorder="1" applyAlignment="1" applyProtection="1">
      <alignment horizontal="right"/>
      <protection locked="0"/>
    </xf>
    <xf numFmtId="0" fontId="22" fillId="0" borderId="0" xfId="0" applyFont="1" applyBorder="1" applyAlignment="1" applyProtection="1">
      <alignment horizontal="right"/>
    </xf>
    <xf numFmtId="0" fontId="0" fillId="3" borderId="1" xfId="0" applyFont="1" applyFill="1" applyBorder="1" applyAlignment="1" applyProtection="1">
      <alignment horizontal="right"/>
    </xf>
    <xf numFmtId="0" fontId="0" fillId="3" borderId="2" xfId="0" applyFont="1" applyFill="1" applyBorder="1" applyAlignment="1" applyProtection="1">
      <alignment horizontal="right"/>
    </xf>
    <xf numFmtId="0" fontId="0" fillId="3" borderId="3" xfId="0" applyFont="1" applyFill="1" applyBorder="1" applyAlignment="1" applyProtection="1">
      <alignment horizontal="right"/>
    </xf>
    <xf numFmtId="0" fontId="0" fillId="3" borderId="5" xfId="0" applyFont="1" applyFill="1" applyBorder="1" applyAlignment="1" applyProtection="1">
      <alignment horizontal="right"/>
    </xf>
    <xf numFmtId="0" fontId="0" fillId="3" borderId="6" xfId="0" applyFont="1" applyFill="1" applyBorder="1" applyAlignment="1" applyProtection="1">
      <alignment horizontal="right"/>
    </xf>
    <xf numFmtId="0" fontId="0" fillId="3" borderId="7" xfId="0" applyFont="1" applyFill="1" applyBorder="1" applyAlignment="1" applyProtection="1">
      <alignment horizontal="right"/>
    </xf>
    <xf numFmtId="0" fontId="1" fillId="3" borderId="1" xfId="0" applyFont="1" applyFill="1" applyBorder="1" applyAlignment="1" applyProtection="1">
      <alignment horizontal="right"/>
    </xf>
    <xf numFmtId="0" fontId="1" fillId="3" borderId="2" xfId="0" applyFont="1" applyFill="1" applyBorder="1" applyAlignment="1" applyProtection="1">
      <alignment horizontal="right"/>
    </xf>
    <xf numFmtId="0" fontId="1" fillId="3" borderId="3" xfId="0" applyFont="1" applyFill="1" applyBorder="1" applyAlignment="1" applyProtection="1">
      <alignment horizontal="right"/>
    </xf>
    <xf numFmtId="0" fontId="0" fillId="0" borderId="1" xfId="0" applyFont="1" applyFill="1" applyBorder="1" applyAlignment="1" applyProtection="1">
      <alignment horizontal="right"/>
    </xf>
    <xf numFmtId="0" fontId="0" fillId="0" borderId="3" xfId="0" applyFont="1" applyFill="1" applyBorder="1" applyAlignment="1" applyProtection="1">
      <alignment horizontal="right"/>
    </xf>
    <xf numFmtId="0" fontId="0" fillId="0" borderId="4" xfId="0" applyFont="1" applyFill="1" applyBorder="1" applyAlignment="1" applyProtection="1">
      <alignment horizontal="right"/>
    </xf>
    <xf numFmtId="0" fontId="0" fillId="0" borderId="5" xfId="0" applyFont="1" applyBorder="1" applyAlignment="1" applyProtection="1">
      <alignment horizontal="right"/>
    </xf>
    <xf numFmtId="0" fontId="0" fillId="0" borderId="7" xfId="0" applyFont="1" applyBorder="1" applyAlignment="1" applyProtection="1">
      <alignment horizontal="right"/>
    </xf>
    <xf numFmtId="0" fontId="0" fillId="0" borderId="4" xfId="0" applyFont="1" applyBorder="1" applyAlignment="1" applyProtection="1">
      <alignment horizontal="right"/>
    </xf>
    <xf numFmtId="164" fontId="0" fillId="0" borderId="5" xfId="0" applyNumberFormat="1" applyFont="1" applyBorder="1" applyAlignment="1" applyProtection="1">
      <alignment horizontal="right"/>
      <protection locked="0"/>
    </xf>
    <xf numFmtId="164" fontId="0" fillId="0" borderId="7" xfId="0" applyNumberFormat="1" applyFont="1" applyBorder="1" applyAlignment="1" applyProtection="1">
      <alignment horizontal="right"/>
      <protection locked="0"/>
    </xf>
    <xf numFmtId="0" fontId="6" fillId="0" borderId="13" xfId="0" applyFont="1" applyBorder="1" applyAlignment="1" applyProtection="1">
      <alignment horizontal="right"/>
    </xf>
    <xf numFmtId="0" fontId="6" fillId="0" borderId="14" xfId="0" applyFont="1" applyBorder="1" applyAlignment="1" applyProtection="1">
      <alignment horizontal="right"/>
    </xf>
    <xf numFmtId="0" fontId="5" fillId="0" borderId="31" xfId="0" applyFont="1" applyFill="1" applyBorder="1" applyAlignment="1" applyProtection="1">
      <alignment horizontal="right"/>
    </xf>
    <xf numFmtId="0" fontId="5" fillId="0" borderId="32" xfId="0" applyFont="1" applyFill="1" applyBorder="1" applyAlignment="1" applyProtection="1">
      <alignment horizontal="right"/>
    </xf>
    <xf numFmtId="0" fontId="6" fillId="0" borderId="15" xfId="0" applyFont="1" applyBorder="1" applyAlignment="1" applyProtection="1">
      <alignment horizontal="right"/>
    </xf>
    <xf numFmtId="0" fontId="6" fillId="0" borderId="16" xfId="0" applyFont="1" applyBorder="1" applyAlignment="1" applyProtection="1">
      <alignment horizontal="right"/>
    </xf>
    <xf numFmtId="165" fontId="3" fillId="0" borderId="11" xfId="0" applyNumberFormat="1" applyFont="1" applyBorder="1" applyAlignment="1" applyProtection="1">
      <alignment horizontal="right"/>
    </xf>
    <xf numFmtId="165" fontId="3" fillId="0" borderId="21" xfId="0" applyNumberFormat="1" applyFont="1" applyBorder="1" applyAlignment="1" applyProtection="1">
      <alignment horizontal="right"/>
    </xf>
    <xf numFmtId="0" fontId="0" fillId="0" borderId="36" xfId="0" applyFont="1" applyBorder="1" applyAlignment="1" applyProtection="1">
      <alignment horizontal="right"/>
    </xf>
    <xf numFmtId="0" fontId="3" fillId="0" borderId="33" xfId="0" applyFont="1" applyBorder="1" applyAlignment="1" applyProtection="1">
      <alignment horizontal="right"/>
    </xf>
    <xf numFmtId="0" fontId="0" fillId="0" borderId="21" xfId="0" applyFont="1" applyFill="1" applyBorder="1" applyAlignment="1" applyProtection="1">
      <alignment horizontal="right"/>
    </xf>
    <xf numFmtId="0" fontId="12" fillId="0" borderId="34" xfId="0" applyFont="1" applyBorder="1" applyAlignment="1" applyProtection="1">
      <alignment horizontal="right"/>
    </xf>
    <xf numFmtId="0" fontId="12" fillId="0" borderId="35" xfId="0" applyFont="1" applyBorder="1" applyAlignment="1" applyProtection="1">
      <alignment horizontal="right"/>
    </xf>
    <xf numFmtId="0" fontId="12" fillId="0" borderId="31" xfId="0" applyFont="1" applyBorder="1" applyAlignment="1" applyProtection="1">
      <alignment horizontal="right"/>
    </xf>
    <xf numFmtId="0" fontId="12" fillId="0" borderId="32" xfId="0" applyFont="1" applyBorder="1" applyAlignment="1" applyProtection="1">
      <alignment horizontal="right"/>
    </xf>
    <xf numFmtId="0" fontId="0" fillId="0" borderId="36" xfId="0" applyFont="1" applyFill="1" applyBorder="1" applyAlignment="1" applyProtection="1">
      <alignment horizontal="right"/>
    </xf>
    <xf numFmtId="0" fontId="5" fillId="0" borderId="34" xfId="0" applyFont="1" applyFill="1" applyBorder="1" applyAlignment="1" applyProtection="1">
      <alignment horizontal="right"/>
    </xf>
    <xf numFmtId="0" fontId="5" fillId="0" borderId="35" xfId="0" applyFont="1" applyFill="1" applyBorder="1" applyAlignment="1" applyProtection="1">
      <alignment horizontal="right"/>
    </xf>
    <xf numFmtId="0" fontId="1" fillId="0" borderId="4" xfId="0" applyFont="1" applyBorder="1" applyAlignment="1" applyProtection="1">
      <alignment horizontal="right"/>
    </xf>
    <xf numFmtId="0" fontId="9" fillId="0" borderId="8" xfId="0" applyFont="1" applyBorder="1" applyAlignment="1" applyProtection="1">
      <alignment horizontal="right" vertical="center" wrapText="1"/>
    </xf>
    <xf numFmtId="0" fontId="6" fillId="0" borderId="9" xfId="0" applyFont="1" applyBorder="1" applyAlignment="1" applyProtection="1">
      <alignment horizontal="right"/>
    </xf>
    <xf numFmtId="17" fontId="0" fillId="0" borderId="5" xfId="0" applyNumberFormat="1" applyFont="1" applyBorder="1" applyAlignment="1" applyProtection="1">
      <alignment horizontal="right"/>
      <protection locked="0"/>
    </xf>
    <xf numFmtId="0" fontId="0" fillId="0" borderId="7" xfId="0" applyFont="1" applyBorder="1" applyAlignment="1" applyProtection="1">
      <alignment horizontal="right"/>
      <protection locked="0"/>
    </xf>
    <xf numFmtId="0" fontId="9" fillId="0" borderId="7" xfId="0" applyFont="1" applyBorder="1" applyAlignment="1" applyProtection="1">
      <alignment horizontal="right" wrapText="1"/>
    </xf>
    <xf numFmtId="0" fontId="9" fillId="0" borderId="1" xfId="0" applyFont="1" applyBorder="1" applyAlignment="1" applyProtection="1">
      <alignment horizontal="right"/>
    </xf>
    <xf numFmtId="0" fontId="9" fillId="0" borderId="3" xfId="0" applyFont="1" applyBorder="1" applyAlignment="1" applyProtection="1">
      <alignment horizontal="right"/>
    </xf>
    <xf numFmtId="0" fontId="0" fillId="0" borderId="4" xfId="0" applyFill="1" applyBorder="1" applyAlignment="1" applyProtection="1">
      <alignment horizontal="right"/>
    </xf>
    <xf numFmtId="0" fontId="0" fillId="0" borderId="4" xfId="0" applyBorder="1" applyAlignment="1" applyProtection="1">
      <alignment horizontal="right"/>
    </xf>
    <xf numFmtId="0" fontId="0" fillId="0" borderId="17" xfId="0" applyFill="1" applyBorder="1" applyAlignment="1" applyProtection="1">
      <alignment horizontal="right"/>
    </xf>
    <xf numFmtId="0" fontId="0" fillId="0" borderId="18" xfId="0" applyFill="1" applyBorder="1" applyAlignment="1" applyProtection="1">
      <alignment horizontal="right"/>
    </xf>
    <xf numFmtId="0" fontId="3" fillId="0" borderId="17" xfId="0" applyFont="1" applyBorder="1" applyAlignment="1" applyProtection="1">
      <alignment horizontal="right"/>
    </xf>
    <xf numFmtId="0" fontId="3" fillId="0" borderId="18" xfId="0" applyFont="1" applyBorder="1" applyAlignment="1" applyProtection="1">
      <alignment horizontal="right"/>
    </xf>
    <xf numFmtId="0" fontId="1" fillId="0" borderId="10" xfId="0" applyFont="1" applyBorder="1" applyAlignment="1" applyProtection="1">
      <alignment horizontal="right"/>
    </xf>
    <xf numFmtId="0" fontId="6" fillId="0" borderId="48" xfId="0" applyFont="1" applyBorder="1" applyAlignment="1" applyProtection="1">
      <alignment horizontal="right"/>
    </xf>
    <xf numFmtId="0" fontId="6" fillId="0" borderId="49" xfId="0" applyFont="1" applyBorder="1" applyAlignment="1" applyProtection="1">
      <alignment horizontal="right"/>
    </xf>
    <xf numFmtId="0" fontId="6" fillId="0" borderId="33" xfId="0" applyFont="1" applyBorder="1" applyAlignment="1" applyProtection="1">
      <alignment horizontal="right"/>
    </xf>
    <xf numFmtId="0" fontId="1" fillId="0" borderId="1" xfId="0" applyFont="1" applyBorder="1" applyAlignment="1" applyProtection="1">
      <alignment horizontal="right"/>
    </xf>
    <xf numFmtId="0" fontId="1" fillId="0" borderId="3" xfId="0" applyFont="1" applyBorder="1" applyAlignment="1" applyProtection="1">
      <alignment horizontal="right"/>
    </xf>
    <xf numFmtId="0" fontId="14" fillId="0" borderId="11" xfId="0" applyFont="1" applyBorder="1" applyAlignment="1" applyProtection="1">
      <alignment horizontal="right"/>
    </xf>
    <xf numFmtId="0" fontId="14" fillId="0" borderId="12" xfId="0" applyFont="1" applyBorder="1" applyAlignment="1" applyProtection="1">
      <alignment horizontal="right"/>
    </xf>
    <xf numFmtId="0" fontId="9" fillId="0" borderId="1" xfId="0" applyFont="1" applyFill="1" applyBorder="1" applyAlignment="1" applyProtection="1">
      <alignment horizontal="right"/>
    </xf>
    <xf numFmtId="0" fontId="9" fillId="0" borderId="3" xfId="0" applyFont="1" applyFill="1" applyBorder="1" applyAlignment="1" applyProtection="1">
      <alignment horizontal="right"/>
    </xf>
    <xf numFmtId="0" fontId="0" fillId="0" borderId="17" xfId="0" applyBorder="1" applyAlignment="1" applyProtection="1">
      <alignment horizontal="center"/>
    </xf>
    <xf numFmtId="0" fontId="0" fillId="0" borderId="10" xfId="0" applyBorder="1" applyAlignment="1" applyProtection="1">
      <alignment horizontal="center"/>
    </xf>
    <xf numFmtId="0" fontId="0" fillId="0" borderId="1" xfId="0" applyBorder="1" applyAlignment="1" applyProtection="1">
      <alignment horizontal="right"/>
    </xf>
    <xf numFmtId="0" fontId="0" fillId="0" borderId="3" xfId="0" applyBorder="1" applyAlignment="1" applyProtection="1">
      <alignment horizontal="right"/>
    </xf>
    <xf numFmtId="0" fontId="3" fillId="0" borderId="0" xfId="0" applyFont="1" applyFill="1" applyBorder="1" applyAlignment="1" applyProtection="1">
      <alignment horizontal="center"/>
    </xf>
    <xf numFmtId="0" fontId="3" fillId="0" borderId="15" xfId="0" applyFont="1" applyFill="1" applyBorder="1" applyAlignment="1" applyProtection="1">
      <alignment horizontal="right"/>
    </xf>
    <xf numFmtId="0" fontId="3" fillId="0" borderId="16" xfId="0" applyFont="1" applyFill="1" applyBorder="1" applyAlignment="1" applyProtection="1">
      <alignment horizontal="right"/>
    </xf>
    <xf numFmtId="0" fontId="9" fillId="0" borderId="13" xfId="0" applyFont="1" applyFill="1" applyBorder="1" applyAlignment="1" applyProtection="1">
      <alignment horizontal="right"/>
    </xf>
    <xf numFmtId="0" fontId="9" fillId="0" borderId="14" xfId="0" applyFont="1" applyFill="1" applyBorder="1" applyAlignment="1" applyProtection="1">
      <alignment horizontal="right"/>
    </xf>
    <xf numFmtId="0" fontId="0" fillId="0" borderId="15" xfId="0" applyFill="1" applyBorder="1" applyAlignment="1" applyProtection="1">
      <alignment horizontal="right"/>
    </xf>
    <xf numFmtId="0" fontId="0" fillId="0" borderId="16" xfId="0" applyFill="1" applyBorder="1" applyAlignment="1" applyProtection="1">
      <alignment horizontal="right"/>
    </xf>
    <xf numFmtId="0" fontId="3" fillId="0" borderId="13" xfId="0" applyFont="1" applyFill="1" applyBorder="1" applyAlignment="1" applyProtection="1">
      <alignment horizontal="right"/>
    </xf>
    <xf numFmtId="0" fontId="3" fillId="0" borderId="14" xfId="0" applyFont="1" applyFill="1" applyBorder="1" applyAlignment="1" applyProtection="1">
      <alignment horizontal="right"/>
    </xf>
    <xf numFmtId="0" fontId="3" fillId="0" borderId="15" xfId="0" applyFont="1" applyBorder="1" applyAlignment="1" applyProtection="1">
      <alignment horizontal="right"/>
    </xf>
    <xf numFmtId="0" fontId="3" fillId="0" borderId="16" xfId="0" applyFont="1" applyBorder="1" applyAlignment="1" applyProtection="1">
      <alignment horizontal="right"/>
    </xf>
    <xf numFmtId="0" fontId="0" fillId="0" borderId="0" xfId="0" applyFill="1" applyBorder="1" applyAlignment="1" applyProtection="1">
      <alignment horizontal="center"/>
    </xf>
    <xf numFmtId="0" fontId="6" fillId="0" borderId="46" xfId="0" applyFont="1" applyBorder="1" applyAlignment="1" applyProtection="1">
      <alignment horizontal="right"/>
    </xf>
    <xf numFmtId="0" fontId="6" fillId="0" borderId="47" xfId="0" applyFont="1" applyBorder="1" applyAlignment="1" applyProtection="1">
      <alignment horizontal="right"/>
    </xf>
    <xf numFmtId="0" fontId="0" fillId="0" borderId="34" xfId="0" applyBorder="1" applyAlignment="1" applyProtection="1">
      <alignment horizontal="right"/>
    </xf>
    <xf numFmtId="0" fontId="0" fillId="0" borderId="35" xfId="0" applyBorder="1" applyAlignment="1" applyProtection="1">
      <alignment horizontal="right"/>
    </xf>
    <xf numFmtId="0" fontId="6" fillId="0" borderId="34" xfId="0" applyFont="1" applyBorder="1" applyAlignment="1" applyProtection="1">
      <alignment horizontal="right"/>
    </xf>
    <xf numFmtId="0" fontId="6" fillId="0" borderId="35" xfId="0" applyFont="1" applyBorder="1" applyAlignment="1" applyProtection="1">
      <alignment horizontal="right"/>
    </xf>
    <xf numFmtId="0" fontId="0" fillId="0" borderId="15" xfId="0" applyFont="1" applyFill="1" applyBorder="1" applyAlignment="1" applyProtection="1">
      <alignment horizontal="right"/>
    </xf>
    <xf numFmtId="0" fontId="0" fillId="0" borderId="16" xfId="0" applyFont="1" applyFill="1" applyBorder="1" applyAlignment="1" applyProtection="1">
      <alignment horizontal="right"/>
    </xf>
    <xf numFmtId="0" fontId="9" fillId="0" borderId="13" xfId="0" applyFont="1" applyBorder="1" applyAlignment="1" applyProtection="1">
      <alignment horizontal="right"/>
    </xf>
    <xf numFmtId="0" fontId="9" fillId="0" borderId="14" xfId="0" applyFont="1" applyBorder="1" applyAlignment="1" applyProtection="1">
      <alignment horizontal="right"/>
    </xf>
    <xf numFmtId="0" fontId="0" fillId="0" borderId="15" xfId="0" applyBorder="1" applyAlignment="1" applyProtection="1">
      <alignment horizontal="right"/>
    </xf>
    <xf numFmtId="0" fontId="0" fillId="0" borderId="16" xfId="0" applyBorder="1" applyAlignment="1" applyProtection="1">
      <alignment horizontal="right"/>
    </xf>
    <xf numFmtId="0" fontId="19" fillId="0" borderId="17" xfId="0" applyFont="1" applyBorder="1" applyAlignment="1" applyProtection="1">
      <alignment horizontal="center"/>
    </xf>
    <xf numFmtId="0" fontId="19" fillId="0" borderId="10" xfId="0" applyFont="1" applyBorder="1" applyAlignment="1" applyProtection="1">
      <alignment horizontal="center"/>
    </xf>
    <xf numFmtId="0" fontId="19" fillId="0" borderId="0" xfId="0" applyFont="1" applyFill="1" applyBorder="1" applyAlignment="1" applyProtection="1">
      <alignment horizontal="center"/>
    </xf>
    <xf numFmtId="0" fontId="22" fillId="0" borderId="0" xfId="0" applyFont="1" applyFill="1" applyBorder="1" applyAlignment="1" applyProtection="1">
      <alignment horizontal="center"/>
    </xf>
    <xf numFmtId="0" fontId="25" fillId="0" borderId="1" xfId="0" applyFont="1" applyFill="1" applyBorder="1" applyAlignment="1" applyProtection="1">
      <alignment horizontal="right"/>
    </xf>
    <xf numFmtId="0" fontId="25" fillId="0" borderId="3" xfId="0" applyFont="1" applyFill="1" applyBorder="1" applyAlignment="1" applyProtection="1">
      <alignment horizontal="right"/>
    </xf>
    <xf numFmtId="164" fontId="19" fillId="0" borderId="5" xfId="0" applyNumberFormat="1" applyFont="1" applyBorder="1" applyAlignment="1" applyProtection="1">
      <alignment horizontal="right"/>
      <protection locked="0"/>
    </xf>
    <xf numFmtId="164" fontId="19" fillId="0" borderId="7" xfId="0" applyNumberFormat="1" applyFont="1" applyBorder="1" applyAlignment="1" applyProtection="1">
      <alignment horizontal="right"/>
      <protection locked="0"/>
    </xf>
    <xf numFmtId="0" fontId="25" fillId="0" borderId="1" xfId="0" applyFont="1" applyBorder="1" applyAlignment="1" applyProtection="1">
      <alignment horizontal="right"/>
    </xf>
    <xf numFmtId="0" fontId="25" fillId="0" borderId="3" xfId="0" applyFont="1" applyBorder="1" applyAlignment="1" applyProtection="1">
      <alignment horizontal="right"/>
    </xf>
    <xf numFmtId="17" fontId="19" fillId="0" borderId="5" xfId="0" applyNumberFormat="1" applyFont="1" applyBorder="1" applyAlignment="1" applyProtection="1">
      <alignment horizontal="right"/>
      <protection locked="0"/>
    </xf>
    <xf numFmtId="0" fontId="19" fillId="0" borderId="7" xfId="0" applyFont="1" applyBorder="1" applyAlignment="1" applyProtection="1">
      <alignment horizontal="right"/>
      <protection locked="0"/>
    </xf>
    <xf numFmtId="165" fontId="22" fillId="0" borderId="11" xfId="0" applyNumberFormat="1" applyFont="1" applyBorder="1" applyAlignment="1" applyProtection="1">
      <alignment horizontal="right"/>
    </xf>
    <xf numFmtId="165" fontId="22" fillId="0" borderId="21" xfId="0" applyNumberFormat="1" applyFont="1" applyBorder="1" applyAlignment="1" applyProtection="1">
      <alignment horizontal="right"/>
    </xf>
    <xf numFmtId="0" fontId="22" fillId="0" borderId="33" xfId="0" applyFont="1" applyBorder="1" applyAlignment="1" applyProtection="1">
      <alignment horizontal="right"/>
    </xf>
    <xf numFmtId="0" fontId="19" fillId="0" borderId="21" xfId="0" applyFont="1" applyFill="1" applyBorder="1" applyAlignment="1" applyProtection="1">
      <alignment horizontal="right"/>
    </xf>
    <xf numFmtId="0" fontId="19" fillId="3" borderId="5" xfId="0" applyFont="1" applyFill="1" applyBorder="1" applyAlignment="1" applyProtection="1">
      <alignment horizontal="right"/>
    </xf>
    <xf numFmtId="0" fontId="19" fillId="3" borderId="6" xfId="0" applyFont="1" applyFill="1" applyBorder="1" applyAlignment="1" applyProtection="1">
      <alignment horizontal="right"/>
    </xf>
    <xf numFmtId="0" fontId="19" fillId="3" borderId="7" xfId="0" applyFont="1" applyFill="1" applyBorder="1" applyAlignment="1" applyProtection="1">
      <alignment horizontal="right"/>
    </xf>
    <xf numFmtId="0" fontId="2" fillId="0" borderId="0" xfId="0" applyFont="1" applyFill="1" applyBorder="1" applyAlignment="1" applyProtection="1">
      <alignment horizontal="center"/>
    </xf>
    <xf numFmtId="17" fontId="0" fillId="0" borderId="5" xfId="0" applyNumberFormat="1" applyBorder="1" applyAlignment="1" applyProtection="1">
      <alignment horizontal="right"/>
      <protection locked="0"/>
    </xf>
    <xf numFmtId="0" fontId="0" fillId="0" borderId="7" xfId="0" applyBorder="1" applyAlignment="1" applyProtection="1">
      <alignment horizontal="right"/>
      <protection locked="0"/>
    </xf>
    <xf numFmtId="0" fontId="0" fillId="0" borderId="36" xfId="0" applyBorder="1" applyAlignment="1" applyProtection="1">
      <alignment horizontal="right"/>
    </xf>
    <xf numFmtId="0" fontId="0" fillId="0" borderId="21" xfId="0" applyFill="1" applyBorder="1" applyAlignment="1" applyProtection="1">
      <alignment horizontal="right"/>
    </xf>
    <xf numFmtId="0" fontId="0" fillId="0" borderId="36" xfId="0" applyFill="1" applyBorder="1" applyAlignment="1" applyProtection="1">
      <alignment horizontal="right"/>
    </xf>
    <xf numFmtId="0" fontId="0" fillId="0" borderId="1" xfId="0" applyFill="1" applyBorder="1" applyAlignment="1" applyProtection="1">
      <alignment horizontal="right"/>
    </xf>
    <xf numFmtId="0" fontId="0" fillId="0" borderId="3" xfId="0" applyFill="1" applyBorder="1" applyAlignment="1" applyProtection="1">
      <alignment horizontal="right"/>
    </xf>
    <xf numFmtId="0" fontId="0" fillId="0" borderId="5" xfId="0" applyBorder="1" applyAlignment="1" applyProtection="1">
      <alignment horizontal="right"/>
    </xf>
    <xf numFmtId="0" fontId="0" fillId="3" borderId="1" xfId="0" applyFill="1" applyBorder="1" applyAlignment="1" applyProtection="1">
      <alignment horizontal="right"/>
    </xf>
    <xf numFmtId="0" fontId="0" fillId="3" borderId="2" xfId="0" applyFill="1" applyBorder="1" applyAlignment="1" applyProtection="1">
      <alignment horizontal="right"/>
    </xf>
    <xf numFmtId="0" fontId="0" fillId="3" borderId="3" xfId="0" applyFill="1" applyBorder="1" applyAlignment="1" applyProtection="1">
      <alignment horizontal="right"/>
    </xf>
    <xf numFmtId="0" fontId="0" fillId="3" borderId="5" xfId="0" applyFill="1" applyBorder="1" applyAlignment="1" applyProtection="1">
      <alignment horizontal="right"/>
    </xf>
    <xf numFmtId="0" fontId="0" fillId="3" borderId="6" xfId="0" applyFill="1" applyBorder="1" applyAlignment="1" applyProtection="1">
      <alignment horizontal="right"/>
    </xf>
    <xf numFmtId="0" fontId="0" fillId="3" borderId="7" xfId="0" applyFill="1" applyBorder="1" applyAlignment="1" applyProtection="1">
      <alignment horizontal="right"/>
    </xf>
    <xf numFmtId="44" fontId="0" fillId="3" borderId="1" xfId="0" applyNumberFormat="1" applyFont="1" applyFill="1" applyBorder="1" applyAlignment="1" applyProtection="1"/>
    <xf numFmtId="0" fontId="0" fillId="0" borderId="2" xfId="0" applyBorder="1" applyAlignment="1" applyProtection="1"/>
    <xf numFmtId="0" fontId="0" fillId="2" borderId="1" xfId="0" applyFont="1" applyFill="1" applyBorder="1" applyAlignment="1" applyProtection="1">
      <alignment horizontal="right"/>
      <protection locked="0"/>
    </xf>
    <xf numFmtId="0" fontId="0" fillId="2" borderId="2" xfId="0" applyFont="1" applyFill="1" applyBorder="1" applyAlignment="1" applyProtection="1">
      <alignment horizontal="right"/>
      <protection locked="0"/>
    </xf>
    <xf numFmtId="0" fontId="0" fillId="2" borderId="3" xfId="0" applyFont="1" applyFill="1" applyBorder="1" applyAlignment="1" applyProtection="1">
      <alignment horizontal="right"/>
      <protection locked="0"/>
    </xf>
    <xf numFmtId="0" fontId="0" fillId="0" borderId="17" xfId="0" applyFont="1" applyBorder="1" applyAlignment="1" applyProtection="1">
      <alignment horizontal="right"/>
    </xf>
    <xf numFmtId="0" fontId="0" fillId="0" borderId="10" xfId="0" applyFont="1" applyBorder="1" applyAlignment="1" applyProtection="1">
      <alignment horizontal="right"/>
    </xf>
    <xf numFmtId="0" fontId="0" fillId="0" borderId="18" xfId="0" applyFont="1" applyBorder="1" applyAlignment="1" applyProtection="1">
      <alignment horizontal="right"/>
    </xf>
    <xf numFmtId="0" fontId="0" fillId="0" borderId="11" xfId="0" applyFont="1" applyBorder="1" applyAlignment="1" applyProtection="1">
      <alignment horizontal="right"/>
    </xf>
    <xf numFmtId="0" fontId="0" fillId="0" borderId="21" xfId="0" applyFont="1" applyBorder="1" applyAlignment="1" applyProtection="1">
      <alignment horizontal="right"/>
    </xf>
    <xf numFmtId="0" fontId="0" fillId="0" borderId="12" xfId="0" applyFont="1" applyBorder="1" applyAlignment="1" applyProtection="1">
      <alignment horizontal="right"/>
    </xf>
    <xf numFmtId="165" fontId="0" fillId="0" borderId="4" xfId="0" applyNumberFormat="1" applyFont="1" applyBorder="1" applyAlignment="1" applyProtection="1">
      <alignment horizontal="right"/>
    </xf>
    <xf numFmtId="0" fontId="0" fillId="0" borderId="17" xfId="0" applyFont="1" applyFill="1" applyBorder="1" applyAlignment="1" applyProtection="1">
      <alignment horizontal="right"/>
    </xf>
    <xf numFmtId="0" fontId="0" fillId="0" borderId="18" xfId="0" applyFont="1" applyFill="1" applyBorder="1" applyAlignment="1" applyProtection="1">
      <alignment horizontal="right"/>
    </xf>
    <xf numFmtId="1" fontId="0" fillId="0" borderId="17" xfId="0" applyNumberFormat="1" applyFont="1" applyBorder="1" applyAlignment="1" applyProtection="1">
      <alignment horizontal="right"/>
    </xf>
    <xf numFmtId="1" fontId="0" fillId="0" borderId="18" xfId="0" applyNumberFormat="1" applyFont="1" applyBorder="1" applyAlignment="1" applyProtection="1">
      <alignment horizontal="right"/>
    </xf>
    <xf numFmtId="0" fontId="1" fillId="0" borderId="0" xfId="0" applyFont="1" applyAlignment="1" applyProtection="1">
      <alignment horizontal="right" vertical="center" wrapText="1"/>
    </xf>
    <xf numFmtId="0" fontId="0" fillId="0" borderId="11" xfId="0" applyFont="1" applyFill="1" applyBorder="1" applyAlignment="1" applyProtection="1">
      <alignment horizontal="right"/>
    </xf>
    <xf numFmtId="0" fontId="0" fillId="0" borderId="12" xfId="0" applyFont="1" applyFill="1" applyBorder="1" applyAlignment="1" applyProtection="1">
      <alignment horizontal="right"/>
    </xf>
    <xf numFmtId="0" fontId="0" fillId="0" borderId="10" xfId="0" applyFont="1" applyFill="1" applyBorder="1" applyAlignment="1" applyProtection="1">
      <alignment horizontal="right"/>
    </xf>
    <xf numFmtId="0" fontId="1" fillId="0" borderId="0" xfId="0" applyFont="1" applyAlignment="1" applyProtection="1">
      <alignment horizontal="right"/>
    </xf>
    <xf numFmtId="14" fontId="0" fillId="2" borderId="4" xfId="0" applyNumberFormat="1" applyFont="1" applyFill="1" applyBorder="1" applyAlignment="1" applyProtection="1">
      <alignment horizontal="right"/>
      <protection locked="0"/>
    </xf>
    <xf numFmtId="1" fontId="0" fillId="0" borderId="1" xfId="0" applyNumberFormat="1" applyFont="1" applyBorder="1" applyAlignment="1" applyProtection="1">
      <alignment horizontal="right"/>
    </xf>
    <xf numFmtId="1" fontId="0" fillId="0" borderId="3" xfId="0" applyNumberFormat="1" applyFont="1" applyBorder="1" applyAlignment="1" applyProtection="1">
      <alignment horizontal="right"/>
    </xf>
    <xf numFmtId="165" fontId="0" fillId="2" borderId="4" xfId="0" applyNumberFormat="1" applyFont="1" applyFill="1" applyBorder="1" applyAlignment="1" applyProtection="1">
      <alignment horizontal="right"/>
      <protection locked="0"/>
    </xf>
    <xf numFmtId="0" fontId="0" fillId="0" borderId="0" xfId="0" applyBorder="1" applyAlignment="1" applyProtection="1">
      <alignment horizontal="right"/>
      <protection locked="0"/>
    </xf>
    <xf numFmtId="0" fontId="0" fillId="0" borderId="1" xfId="0" applyFont="1" applyBorder="1" applyAlignment="1" applyProtection="1">
      <alignment horizontal="right"/>
    </xf>
    <xf numFmtId="0" fontId="0" fillId="0" borderId="2" xfId="0" applyFont="1" applyBorder="1" applyAlignment="1" applyProtection="1">
      <alignment horizontal="right"/>
    </xf>
    <xf numFmtId="0" fontId="0" fillId="0" borderId="3" xfId="0" applyFont="1" applyBorder="1" applyAlignment="1" applyProtection="1">
      <alignment horizontal="right"/>
    </xf>
    <xf numFmtId="0" fontId="1" fillId="0" borderId="2" xfId="0" applyFont="1" applyBorder="1" applyAlignment="1" applyProtection="1">
      <alignment horizontal="right"/>
    </xf>
    <xf numFmtId="165" fontId="0" fillId="0" borderId="1" xfId="0" applyNumberFormat="1" applyFont="1" applyBorder="1" applyAlignment="1" applyProtection="1">
      <alignment horizontal="right"/>
    </xf>
    <xf numFmtId="165" fontId="0" fillId="0" borderId="3" xfId="0" applyNumberFormat="1" applyFont="1" applyBorder="1" applyAlignment="1" applyProtection="1">
      <alignment horizontal="right"/>
    </xf>
    <xf numFmtId="0" fontId="0" fillId="3" borderId="17" xfId="0" applyFont="1" applyFill="1" applyBorder="1" applyAlignment="1" applyProtection="1">
      <alignment horizontal="right"/>
    </xf>
    <xf numFmtId="0" fontId="0" fillId="3" borderId="18" xfId="0" applyFont="1" applyFill="1" applyBorder="1" applyAlignment="1" applyProtection="1">
      <alignment horizontal="right"/>
    </xf>
    <xf numFmtId="0" fontId="1" fillId="8" borderId="11" xfId="0" applyFont="1" applyFill="1" applyBorder="1" applyAlignment="1" applyProtection="1">
      <alignment horizontal="right"/>
    </xf>
    <xf numFmtId="0" fontId="1" fillId="8" borderId="12" xfId="0" applyFont="1" applyFill="1" applyBorder="1" applyAlignment="1" applyProtection="1">
      <alignment horizontal="right"/>
    </xf>
    <xf numFmtId="165" fontId="1" fillId="8" borderId="11" xfId="0" applyNumberFormat="1" applyFont="1" applyFill="1" applyBorder="1" applyAlignment="1" applyProtection="1">
      <alignment horizontal="right"/>
    </xf>
    <xf numFmtId="165" fontId="1" fillId="8" borderId="12" xfId="0" applyNumberFormat="1" applyFont="1" applyFill="1" applyBorder="1" applyAlignment="1" applyProtection="1">
      <alignment horizontal="right"/>
    </xf>
    <xf numFmtId="165" fontId="1" fillId="8" borderId="17" xfId="0" applyNumberFormat="1" applyFont="1" applyFill="1" applyBorder="1" applyAlignment="1" applyProtection="1">
      <alignment horizontal="right"/>
    </xf>
    <xf numFmtId="165" fontId="1" fillId="8" borderId="18" xfId="0" applyNumberFormat="1" applyFont="1" applyFill="1" applyBorder="1" applyAlignment="1" applyProtection="1">
      <alignment horizontal="right"/>
    </xf>
    <xf numFmtId="0" fontId="1" fillId="8" borderId="17" xfId="0" applyFont="1" applyFill="1" applyBorder="1" applyAlignment="1" applyProtection="1">
      <alignment horizontal="right"/>
    </xf>
    <xf numFmtId="0" fontId="1" fillId="8" borderId="18" xfId="0" applyFont="1" applyFill="1" applyBorder="1" applyAlignment="1" applyProtection="1">
      <alignment horizontal="right"/>
    </xf>
    <xf numFmtId="0" fontId="0" fillId="8" borderId="11" xfId="0" applyFont="1" applyFill="1" applyBorder="1" applyAlignment="1" applyProtection="1">
      <alignment horizontal="right"/>
    </xf>
    <xf numFmtId="0" fontId="0" fillId="8" borderId="12" xfId="0" applyFont="1" applyFill="1" applyBorder="1" applyAlignment="1" applyProtection="1">
      <alignment horizontal="right"/>
    </xf>
    <xf numFmtId="165" fontId="0" fillId="8" borderId="11" xfId="0" applyNumberFormat="1" applyFont="1" applyFill="1" applyBorder="1" applyAlignment="1" applyProtection="1">
      <alignment horizontal="right"/>
    </xf>
    <xf numFmtId="165" fontId="0" fillId="8" borderId="12" xfId="0" applyNumberFormat="1" applyFont="1" applyFill="1" applyBorder="1" applyAlignment="1" applyProtection="1">
      <alignment horizontal="right"/>
    </xf>
    <xf numFmtId="165" fontId="0" fillId="8" borderId="17" xfId="0" applyNumberFormat="1" applyFont="1" applyFill="1" applyBorder="1" applyAlignment="1" applyProtection="1">
      <alignment horizontal="right"/>
    </xf>
    <xf numFmtId="165" fontId="0" fillId="8" borderId="18" xfId="0" applyNumberFormat="1" applyFont="1" applyFill="1" applyBorder="1" applyAlignment="1" applyProtection="1">
      <alignment horizontal="right"/>
    </xf>
    <xf numFmtId="0" fontId="0" fillId="8" borderId="17" xfId="0" applyFont="1" applyFill="1" applyBorder="1" applyAlignment="1" applyProtection="1">
      <alignment horizontal="right"/>
    </xf>
    <xf numFmtId="0" fontId="0" fillId="8" borderId="18" xfId="0" applyFont="1" applyFill="1" applyBorder="1" applyAlignment="1" applyProtection="1">
      <alignment horizontal="right"/>
    </xf>
    <xf numFmtId="0" fontId="0" fillId="3" borderId="11" xfId="0" applyFont="1" applyFill="1" applyBorder="1" applyAlignment="1" applyProtection="1">
      <alignment horizontal="right"/>
    </xf>
    <xf numFmtId="0" fontId="0" fillId="3" borderId="12" xfId="0" applyFont="1" applyFill="1" applyBorder="1" applyAlignment="1" applyProtection="1">
      <alignment horizontal="right"/>
    </xf>
    <xf numFmtId="0" fontId="0" fillId="8" borderId="5" xfId="0" applyFont="1" applyFill="1" applyBorder="1" applyAlignment="1" applyProtection="1">
      <alignment horizontal="right"/>
    </xf>
    <xf numFmtId="0" fontId="0" fillId="8" borderId="7" xfId="0" applyFont="1" applyFill="1" applyBorder="1" applyAlignment="1" applyProtection="1">
      <alignment horizontal="right"/>
    </xf>
    <xf numFmtId="0" fontId="1" fillId="8" borderId="4" xfId="0" applyFont="1" applyFill="1" applyBorder="1" applyAlignment="1" applyProtection="1">
      <alignment horizontal="right"/>
    </xf>
    <xf numFmtId="0" fontId="6" fillId="0" borderId="1" xfId="0" applyFont="1" applyBorder="1" applyAlignment="1" applyProtection="1">
      <alignment horizontal="right"/>
    </xf>
    <xf numFmtId="0" fontId="6" fillId="0" borderId="3" xfId="0" applyFont="1" applyBorder="1" applyAlignment="1" applyProtection="1">
      <alignment horizontal="right"/>
    </xf>
    <xf numFmtId="0" fontId="0" fillId="0" borderId="30" xfId="0" applyFont="1" applyBorder="1" applyAlignment="1" applyProtection="1">
      <alignment horizontal="right"/>
    </xf>
    <xf numFmtId="0" fontId="1" fillId="0" borderId="5" xfId="0" applyFont="1" applyBorder="1" applyAlignment="1" applyProtection="1">
      <alignment horizontal="right"/>
    </xf>
    <xf numFmtId="0" fontId="1" fillId="0" borderId="7" xfId="0" applyFont="1" applyBorder="1" applyAlignment="1" applyProtection="1">
      <alignment horizontal="right"/>
    </xf>
    <xf numFmtId="0" fontId="19" fillId="0" borderId="0" xfId="0" applyFont="1" applyAlignment="1" applyProtection="1">
      <alignment horizontal="left" wrapText="1"/>
    </xf>
    <xf numFmtId="0" fontId="16" fillId="0" borderId="0" xfId="0" applyFont="1" applyAlignment="1" applyProtection="1">
      <alignment horizontal="left" vertical="top" wrapText="1"/>
    </xf>
    <xf numFmtId="0" fontId="0" fillId="0" borderId="25" xfId="0" applyFont="1" applyBorder="1" applyAlignment="1" applyProtection="1">
      <alignment horizontal="right"/>
    </xf>
    <xf numFmtId="0" fontId="6" fillId="0" borderId="7" xfId="0" applyFont="1" applyBorder="1" applyAlignment="1" applyProtection="1">
      <alignment horizontal="right"/>
    </xf>
    <xf numFmtId="0" fontId="0" fillId="3" borderId="4" xfId="0" applyFont="1" applyFill="1" applyBorder="1" applyAlignment="1" applyProtection="1">
      <alignment horizontal="right" wrapText="1"/>
    </xf>
    <xf numFmtId="0" fontId="0" fillId="3" borderId="4" xfId="0" applyFont="1" applyFill="1" applyBorder="1" applyAlignment="1" applyProtection="1">
      <alignment horizontal="right"/>
    </xf>
    <xf numFmtId="0" fontId="13" fillId="0" borderId="0" xfId="0" applyFont="1" applyBorder="1" applyAlignment="1" applyProtection="1">
      <alignment horizontal="right"/>
    </xf>
    <xf numFmtId="0" fontId="6" fillId="0" borderId="30" xfId="0" applyFont="1" applyBorder="1" applyAlignment="1" applyProtection="1">
      <alignment horizontal="right"/>
    </xf>
    <xf numFmtId="0" fontId="32" fillId="0" borderId="36" xfId="0" applyFont="1" applyBorder="1" applyAlignment="1" applyProtection="1">
      <alignment horizontal="right"/>
    </xf>
    <xf numFmtId="0" fontId="6" fillId="0" borderId="36" xfId="0" applyFont="1" applyBorder="1" applyAlignment="1" applyProtection="1">
      <alignment horizontal="right"/>
    </xf>
    <xf numFmtId="0" fontId="0" fillId="0" borderId="11" xfId="0" applyFont="1" applyBorder="1" applyAlignment="1" applyProtection="1">
      <alignment horizontal="right" wrapText="1"/>
    </xf>
    <xf numFmtId="0" fontId="0" fillId="0" borderId="12" xfId="0" applyFont="1" applyBorder="1" applyAlignment="1" applyProtection="1">
      <alignment horizontal="right" wrapText="1"/>
    </xf>
    <xf numFmtId="0" fontId="0" fillId="0" borderId="17" xfId="0" applyFont="1" applyBorder="1" applyAlignment="1" applyProtection="1">
      <alignment horizontal="right" wrapText="1"/>
    </xf>
    <xf numFmtId="0" fontId="0" fillId="0" borderId="18" xfId="0" applyFont="1" applyBorder="1" applyAlignment="1" applyProtection="1">
      <alignment horizontal="right" wrapText="1"/>
    </xf>
    <xf numFmtId="0" fontId="0" fillId="0" borderId="5" xfId="0" applyFont="1" applyFill="1" applyBorder="1" applyAlignment="1" applyProtection="1">
      <alignment horizontal="right"/>
    </xf>
    <xf numFmtId="0" fontId="0" fillId="0" borderId="7" xfId="0" applyFont="1" applyFill="1" applyBorder="1" applyAlignment="1" applyProtection="1">
      <alignment horizontal="right"/>
    </xf>
    <xf numFmtId="0" fontId="6" fillId="0" borderId="4" xfId="0" applyFont="1" applyBorder="1" applyAlignment="1" applyProtection="1">
      <alignment horizontal="right"/>
    </xf>
    <xf numFmtId="0" fontId="6" fillId="0" borderId="32" xfId="0" applyFont="1" applyBorder="1" applyAlignment="1" applyProtection="1">
      <alignment horizontal="right"/>
    </xf>
    <xf numFmtId="0" fontId="0" fillId="0" borderId="34" xfId="0" applyFont="1" applyFill="1" applyBorder="1" applyAlignment="1" applyProtection="1">
      <alignment horizontal="right"/>
      <protection locked="0"/>
    </xf>
    <xf numFmtId="0" fontId="0" fillId="0" borderId="35" xfId="0" applyFont="1" applyFill="1" applyBorder="1" applyAlignment="1" applyProtection="1">
      <alignment horizontal="right"/>
      <protection locked="0"/>
    </xf>
    <xf numFmtId="0" fontId="5" fillId="0" borderId="19" xfId="0" applyFont="1" applyBorder="1" applyAlignment="1" applyProtection="1">
      <alignment horizontal="right"/>
    </xf>
    <xf numFmtId="0" fontId="5" fillId="0" borderId="20" xfId="0" applyFont="1" applyBorder="1" applyAlignment="1" applyProtection="1">
      <alignment horizontal="right"/>
    </xf>
    <xf numFmtId="0" fontId="6" fillId="0" borderId="31" xfId="0" applyFont="1" applyBorder="1" applyAlignment="1" applyProtection="1">
      <alignment horizontal="right"/>
    </xf>
    <xf numFmtId="0" fontId="32" fillId="0" borderId="5" xfId="0" applyFont="1" applyBorder="1" applyAlignment="1" applyProtection="1">
      <alignment horizontal="right"/>
    </xf>
    <xf numFmtId="0" fontId="0" fillId="0" borderId="27" xfId="0" applyFont="1" applyBorder="1" applyAlignment="1" applyProtection="1">
      <alignment horizontal="right"/>
    </xf>
    <xf numFmtId="0" fontId="0" fillId="0" borderId="28" xfId="0" applyFont="1" applyBorder="1" applyAlignment="1" applyProtection="1">
      <alignment horizontal="right"/>
    </xf>
    <xf numFmtId="0" fontId="0" fillId="0" borderId="22" xfId="0" applyFont="1" applyBorder="1" applyAlignment="1" applyProtection="1">
      <alignment horizontal="right"/>
    </xf>
    <xf numFmtId="0" fontId="0" fillId="0" borderId="23" xfId="0" applyFont="1" applyBorder="1" applyAlignment="1" applyProtection="1">
      <alignment horizontal="right"/>
    </xf>
    <xf numFmtId="0" fontId="6" fillId="0" borderId="5" xfId="0" applyFont="1" applyBorder="1" applyAlignment="1" applyProtection="1">
      <alignment horizontal="right"/>
    </xf>
    <xf numFmtId="0" fontId="0" fillId="2" borderId="11" xfId="0" applyFont="1" applyFill="1" applyBorder="1" applyAlignment="1" applyProtection="1">
      <alignment horizontal="right"/>
      <protection locked="0"/>
    </xf>
    <xf numFmtId="0" fontId="0" fillId="2" borderId="12" xfId="0" applyFont="1" applyFill="1" applyBorder="1" applyAlignment="1" applyProtection="1">
      <alignment horizontal="right"/>
      <protection locked="0"/>
    </xf>
    <xf numFmtId="0" fontId="13" fillId="0" borderId="19" xfId="0" applyFont="1" applyBorder="1" applyAlignment="1" applyProtection="1">
      <alignment horizontal="left" wrapText="1"/>
    </xf>
    <xf numFmtId="0" fontId="13" fillId="0" borderId="0" xfId="0" applyFont="1" applyAlignment="1" applyProtection="1">
      <alignment horizontal="left" wrapText="1"/>
    </xf>
    <xf numFmtId="165" fontId="0" fillId="3" borderId="11" xfId="0" applyNumberFormat="1" applyFont="1" applyFill="1" applyBorder="1" applyAlignment="1" applyProtection="1">
      <alignment horizontal="right"/>
    </xf>
    <xf numFmtId="165" fontId="0" fillId="3" borderId="12" xfId="0" applyNumberFormat="1" applyFont="1" applyFill="1" applyBorder="1" applyAlignment="1" applyProtection="1">
      <alignment horizontal="right"/>
    </xf>
    <xf numFmtId="165" fontId="0" fillId="3" borderId="17" xfId="0" applyNumberFormat="1" applyFont="1" applyFill="1" applyBorder="1" applyAlignment="1" applyProtection="1">
      <alignment horizontal="right"/>
    </xf>
    <xf numFmtId="165" fontId="0" fillId="3" borderId="18" xfId="0" applyNumberFormat="1" applyFont="1" applyFill="1" applyBorder="1" applyAlignment="1" applyProtection="1">
      <alignment horizontal="right"/>
    </xf>
    <xf numFmtId="0" fontId="1" fillId="3" borderId="4" xfId="0" applyFont="1" applyFill="1" applyBorder="1" applyAlignment="1" applyProtection="1">
      <alignment horizontal="right"/>
    </xf>
    <xf numFmtId="0" fontId="1" fillId="3" borderId="11" xfId="0" applyFont="1" applyFill="1" applyBorder="1" applyAlignment="1" applyProtection="1">
      <alignment horizontal="right"/>
    </xf>
    <xf numFmtId="0" fontId="1" fillId="3" borderId="12" xfId="0" applyFont="1" applyFill="1" applyBorder="1" applyAlignment="1" applyProtection="1">
      <alignment horizontal="right"/>
    </xf>
    <xf numFmtId="165" fontId="1" fillId="3" borderId="11" xfId="0" applyNumberFormat="1" applyFont="1" applyFill="1" applyBorder="1" applyAlignment="1" applyProtection="1">
      <alignment horizontal="right"/>
    </xf>
    <xf numFmtId="165" fontId="1" fillId="3" borderId="12" xfId="0" applyNumberFormat="1" applyFont="1" applyFill="1" applyBorder="1" applyAlignment="1" applyProtection="1">
      <alignment horizontal="right"/>
    </xf>
    <xf numFmtId="165" fontId="1" fillId="3" borderId="17" xfId="0" applyNumberFormat="1" applyFont="1" applyFill="1" applyBorder="1" applyAlignment="1" applyProtection="1">
      <alignment horizontal="right"/>
    </xf>
    <xf numFmtId="165" fontId="1" fillId="3" borderId="18" xfId="0" applyNumberFormat="1" applyFont="1" applyFill="1" applyBorder="1" applyAlignment="1" applyProtection="1">
      <alignment horizontal="right"/>
    </xf>
    <xf numFmtId="0" fontId="1" fillId="3" borderId="17" xfId="0" applyFont="1" applyFill="1" applyBorder="1" applyAlignment="1" applyProtection="1">
      <alignment horizontal="right"/>
    </xf>
    <xf numFmtId="0" fontId="1" fillId="3" borderId="18" xfId="0" applyFont="1" applyFill="1" applyBorder="1" applyAlignment="1" applyProtection="1">
      <alignment horizontal="right"/>
    </xf>
    <xf numFmtId="0" fontId="0" fillId="8" borderId="1" xfId="0" applyFont="1" applyFill="1" applyBorder="1" applyAlignment="1" applyProtection="1">
      <alignment horizontal="right" wrapText="1"/>
    </xf>
    <xf numFmtId="0" fontId="0" fillId="8" borderId="3" xfId="0" applyFont="1" applyFill="1" applyBorder="1" applyAlignment="1" applyProtection="1">
      <alignment horizontal="right"/>
    </xf>
    <xf numFmtId="0" fontId="0" fillId="8" borderId="11" xfId="0" applyFont="1" applyFill="1" applyBorder="1" applyAlignment="1" applyProtection="1">
      <alignment horizontal="right" wrapText="1"/>
    </xf>
    <xf numFmtId="0" fontId="0" fillId="0" borderId="55" xfId="0" applyFont="1" applyBorder="1" applyAlignment="1" applyProtection="1">
      <alignment horizontal="right"/>
    </xf>
    <xf numFmtId="0" fontId="0" fillId="0" borderId="52" xfId="0" applyFont="1" applyBorder="1" applyAlignment="1" applyProtection="1">
      <alignment horizontal="right"/>
    </xf>
    <xf numFmtId="0" fontId="6" fillId="0" borderId="11" xfId="0" applyFont="1" applyBorder="1" applyAlignment="1" applyProtection="1">
      <alignment horizontal="right"/>
    </xf>
    <xf numFmtId="0" fontId="6" fillId="0" borderId="12" xfId="0" applyFont="1" applyBorder="1" applyAlignment="1" applyProtection="1">
      <alignment horizontal="right"/>
    </xf>
    <xf numFmtId="0" fontId="0" fillId="0" borderId="53" xfId="0" applyFont="1" applyBorder="1" applyAlignment="1" applyProtection="1">
      <alignment horizontal="right"/>
    </xf>
    <xf numFmtId="0" fontId="0" fillId="0" borderId="54" xfId="0" applyFont="1" applyBorder="1" applyAlignment="1" applyProtection="1">
      <alignment horizontal="right"/>
    </xf>
    <xf numFmtId="0" fontId="19" fillId="6" borderId="11" xfId="0" applyFont="1" applyFill="1" applyBorder="1" applyAlignment="1" applyProtection="1">
      <alignment horizontal="right"/>
    </xf>
    <xf numFmtId="0" fontId="19" fillId="6" borderId="21" xfId="0" applyFont="1" applyFill="1" applyBorder="1" applyAlignment="1" applyProtection="1">
      <alignment horizontal="right"/>
    </xf>
    <xf numFmtId="0" fontId="19" fillId="6" borderId="12" xfId="0" applyFont="1" applyFill="1" applyBorder="1" applyAlignment="1" applyProtection="1">
      <alignment horizontal="right"/>
    </xf>
    <xf numFmtId="0" fontId="19" fillId="0" borderId="19" xfId="0" applyFont="1" applyBorder="1" applyAlignment="1" applyProtection="1">
      <alignment horizontal="right"/>
    </xf>
    <xf numFmtId="0" fontId="19" fillId="0" borderId="20" xfId="0" applyFont="1" applyBorder="1" applyAlignment="1" applyProtection="1">
      <alignment horizontal="right"/>
    </xf>
    <xf numFmtId="0" fontId="19" fillId="0" borderId="2" xfId="0" applyFont="1" applyBorder="1" applyAlignment="1" applyProtection="1">
      <alignment horizontal="right"/>
    </xf>
    <xf numFmtId="0" fontId="19" fillId="0" borderId="71" xfId="0" applyFont="1" applyBorder="1" applyAlignment="1" applyProtection="1">
      <alignment horizontal="right"/>
    </xf>
    <xf numFmtId="0" fontId="19" fillId="0" borderId="73" xfId="0" applyFont="1" applyBorder="1" applyAlignment="1" applyProtection="1">
      <alignment horizontal="right"/>
    </xf>
    <xf numFmtId="0" fontId="2" fillId="0" borderId="21" xfId="0" applyFont="1" applyBorder="1" applyAlignment="1" applyProtection="1">
      <alignment horizontal="right"/>
    </xf>
    <xf numFmtId="0" fontId="2" fillId="0" borderId="10" xfId="0" applyFont="1" applyBorder="1" applyAlignment="1" applyProtection="1">
      <alignment horizontal="right"/>
    </xf>
    <xf numFmtId="0" fontId="19" fillId="6" borderId="17" xfId="0" applyFont="1" applyFill="1" applyBorder="1" applyAlignment="1" applyProtection="1">
      <alignment horizontal="right"/>
    </xf>
    <xf numFmtId="0" fontId="19" fillId="6" borderId="10" xfId="0" applyFont="1" applyFill="1" applyBorder="1" applyAlignment="1" applyProtection="1">
      <alignment horizontal="right"/>
    </xf>
    <xf numFmtId="0" fontId="19" fillId="6" borderId="18" xfId="0" applyFont="1" applyFill="1" applyBorder="1" applyAlignment="1" applyProtection="1">
      <alignment horizontal="right"/>
    </xf>
    <xf numFmtId="0" fontId="19" fillId="0" borderId="21" xfId="0" applyFont="1" applyBorder="1" applyAlignment="1" applyProtection="1">
      <alignment horizontal="right"/>
    </xf>
    <xf numFmtId="9" fontId="19" fillId="0" borderId="17" xfId="0" applyNumberFormat="1" applyFont="1" applyBorder="1" applyAlignment="1" applyProtection="1">
      <alignment horizontal="right"/>
    </xf>
    <xf numFmtId="9" fontId="19" fillId="0" borderId="10" xfId="0" applyNumberFormat="1" applyFont="1" applyBorder="1" applyAlignment="1" applyProtection="1">
      <alignment horizontal="right"/>
    </xf>
    <xf numFmtId="9" fontId="19" fillId="0" borderId="18" xfId="0" applyNumberFormat="1" applyFont="1" applyBorder="1" applyAlignment="1" applyProtection="1">
      <alignment horizontal="right"/>
    </xf>
    <xf numFmtId="0" fontId="19" fillId="0" borderId="10" xfId="0" applyFont="1" applyBorder="1" applyAlignment="1" applyProtection="1">
      <alignment horizontal="right"/>
    </xf>
    <xf numFmtId="0" fontId="19" fillId="6" borderId="5" xfId="0" applyFont="1" applyFill="1" applyBorder="1" applyAlignment="1" applyProtection="1">
      <alignment horizontal="right"/>
    </xf>
    <xf numFmtId="0" fontId="19" fillId="6" borderId="7" xfId="0" applyFont="1" applyFill="1" applyBorder="1" applyAlignment="1" applyProtection="1">
      <alignment horizontal="right"/>
    </xf>
    <xf numFmtId="0" fontId="20" fillId="0" borderId="4" xfId="0" applyFont="1" applyBorder="1" applyAlignment="1" applyProtection="1">
      <alignment horizontal="center" vertical="center" wrapText="1"/>
    </xf>
    <xf numFmtId="0" fontId="19" fillId="0" borderId="74" xfId="0" applyFont="1" applyBorder="1" applyAlignment="1" applyProtection="1">
      <alignment horizontal="right"/>
    </xf>
    <xf numFmtId="0" fontId="19" fillId="0" borderId="75" xfId="0" applyFont="1" applyBorder="1" applyAlignment="1" applyProtection="1">
      <alignment horizontal="right"/>
    </xf>
    <xf numFmtId="165" fontId="19" fillId="0" borderId="4" xfId="0" applyNumberFormat="1" applyFont="1" applyBorder="1" applyAlignment="1" applyProtection="1">
      <alignment horizontal="right"/>
    </xf>
    <xf numFmtId="0" fontId="19" fillId="0" borderId="38" xfId="0" applyFont="1" applyBorder="1" applyAlignment="1" applyProtection="1">
      <alignment horizontal="right"/>
    </xf>
    <xf numFmtId="0" fontId="19" fillId="0" borderId="1" xfId="0" applyFont="1" applyBorder="1" applyAlignment="1" applyProtection="1">
      <alignment horizontal="right" wrapText="1"/>
    </xf>
    <xf numFmtId="0" fontId="19" fillId="0" borderId="2" xfId="0" applyFont="1" applyBorder="1" applyAlignment="1" applyProtection="1">
      <alignment horizontal="right" wrapText="1"/>
    </xf>
    <xf numFmtId="0" fontId="19" fillId="0" borderId="3" xfId="0" applyFont="1" applyBorder="1" applyAlignment="1" applyProtection="1">
      <alignment horizontal="right" wrapText="1"/>
    </xf>
    <xf numFmtId="0" fontId="19" fillId="0" borderId="0" xfId="0" applyFont="1" applyAlignment="1" applyProtection="1"/>
    <xf numFmtId="0" fontId="19" fillId="0" borderId="0" xfId="0" applyFont="1" applyProtection="1"/>
    <xf numFmtId="0" fontId="19" fillId="0" borderId="0" xfId="0" applyFont="1" applyBorder="1" applyAlignment="1" applyProtection="1">
      <alignment horizontal="right" wrapText="1"/>
    </xf>
    <xf numFmtId="0" fontId="19" fillId="0" borderId="0" xfId="0" applyFont="1" applyAlignment="1" applyProtection="1">
      <alignment horizontal="left"/>
    </xf>
    <xf numFmtId="0" fontId="20" fillId="0" borderId="17" xfId="0" applyFont="1" applyBorder="1" applyAlignment="1" applyProtection="1">
      <alignment horizontal="right"/>
    </xf>
    <xf numFmtId="0" fontId="20" fillId="0" borderId="18" xfId="0" applyFont="1" applyBorder="1" applyAlignment="1" applyProtection="1">
      <alignment horizontal="right"/>
    </xf>
    <xf numFmtId="165" fontId="4" fillId="0" borderId="1" xfId="0" applyNumberFormat="1" applyFont="1" applyBorder="1" applyAlignment="1" applyProtection="1">
      <alignment horizontal="center"/>
    </xf>
    <xf numFmtId="165" fontId="4" fillId="0" borderId="2" xfId="0" applyNumberFormat="1" applyFont="1" applyBorder="1" applyAlignment="1" applyProtection="1">
      <alignment horizontal="center"/>
    </xf>
    <xf numFmtId="165" fontId="0" fillId="10" borderId="4" xfId="0" applyNumberFormat="1" applyFill="1" applyBorder="1" applyAlignment="1" applyProtection="1">
      <alignment horizontal="center"/>
    </xf>
    <xf numFmtId="0" fontId="15" fillId="11" borderId="0" xfId="0" applyFont="1" applyFill="1" applyBorder="1" applyAlignment="1" applyProtection="1">
      <alignment horizontal="center" vertical="center" wrapText="1"/>
    </xf>
    <xf numFmtId="0" fontId="1" fillId="0" borderId="1" xfId="0" applyFont="1" applyBorder="1" applyAlignment="1" applyProtection="1">
      <alignment horizontal="center"/>
    </xf>
    <xf numFmtId="0" fontId="1" fillId="0" borderId="3" xfId="0" applyFont="1" applyBorder="1" applyAlignment="1" applyProtection="1">
      <alignment horizontal="center"/>
    </xf>
    <xf numFmtId="0" fontId="0" fillId="0" borderId="0" xfId="0" applyAlignment="1" applyProtection="1">
      <alignment horizontal="center"/>
    </xf>
    <xf numFmtId="2" fontId="0" fillId="0" borderId="4" xfId="0" applyNumberFormat="1" applyBorder="1" applyAlignment="1" applyProtection="1">
      <alignment horizontal="center" vertical="center" wrapText="1"/>
    </xf>
    <xf numFmtId="165" fontId="0" fillId="10" borderId="17" xfId="0" applyNumberFormat="1" applyFill="1" applyBorder="1" applyAlignment="1" applyProtection="1">
      <alignment horizontal="center"/>
    </xf>
    <xf numFmtId="165" fontId="0" fillId="10" borderId="18" xfId="0" applyNumberFormat="1" applyFill="1" applyBorder="1" applyAlignment="1" applyProtection="1">
      <alignment horizontal="center"/>
    </xf>
    <xf numFmtId="0" fontId="0" fillId="0" borderId="4" xfId="0" applyBorder="1" applyAlignment="1" applyProtection="1">
      <alignment horizontal="center"/>
    </xf>
    <xf numFmtId="0" fontId="0" fillId="0" borderId="1" xfId="0" applyNumberFormat="1" applyBorder="1" applyAlignment="1" applyProtection="1">
      <alignment horizontal="center"/>
    </xf>
    <xf numFmtId="0" fontId="0" fillId="0" borderId="2" xfId="0" applyNumberFormat="1" applyBorder="1" applyAlignment="1" applyProtection="1">
      <alignment horizontal="center"/>
    </xf>
    <xf numFmtId="0" fontId="0" fillId="0" borderId="3" xfId="0" applyNumberFormat="1" applyBorder="1" applyAlignment="1" applyProtection="1">
      <alignment horizontal="center"/>
    </xf>
    <xf numFmtId="165" fontId="0" fillId="0" borderId="4" xfId="0" applyNumberFormat="1" applyBorder="1" applyAlignment="1" applyProtection="1">
      <alignment horizontal="center"/>
    </xf>
    <xf numFmtId="0" fontId="0" fillId="0" borderId="4" xfId="0" applyBorder="1" applyAlignment="1" applyProtection="1">
      <alignment horizontal="center" wrapText="1"/>
    </xf>
    <xf numFmtId="165" fontId="0" fillId="0" borderId="19" xfId="0" applyNumberFormat="1" applyBorder="1" applyAlignment="1" applyProtection="1">
      <alignment horizontal="center"/>
    </xf>
    <xf numFmtId="165" fontId="0" fillId="0" borderId="20" xfId="0" applyNumberFormat="1" applyBorder="1" applyAlignment="1" applyProtection="1">
      <alignment horizontal="center"/>
    </xf>
    <xf numFmtId="0" fontId="0" fillId="0" borderId="4" xfId="0" applyNumberFormat="1" applyBorder="1" applyAlignment="1" applyProtection="1">
      <alignment horizontal="center"/>
    </xf>
    <xf numFmtId="165" fontId="34" fillId="0" borderId="4" xfId="0" applyNumberFormat="1" applyFont="1" applyBorder="1" applyAlignment="1" applyProtection="1">
      <alignment horizontal="center"/>
    </xf>
    <xf numFmtId="0" fontId="0" fillId="0" borderId="4" xfId="0" applyFill="1" applyBorder="1" applyAlignment="1" applyProtection="1">
      <alignment horizontal="center" vertical="center"/>
    </xf>
    <xf numFmtId="0" fontId="1" fillId="0" borderId="4" xfId="0" applyFont="1" applyBorder="1" applyAlignment="1" applyProtection="1">
      <alignment horizontal="center" wrapText="1"/>
    </xf>
    <xf numFmtId="0" fontId="0" fillId="0" borderId="1" xfId="0" applyFill="1" applyBorder="1" applyAlignment="1" applyProtection="1">
      <alignment horizontal="center" wrapText="1"/>
    </xf>
    <xf numFmtId="0" fontId="0" fillId="0" borderId="2" xfId="0" applyFill="1" applyBorder="1" applyAlignment="1" applyProtection="1">
      <alignment horizontal="center" wrapText="1"/>
    </xf>
    <xf numFmtId="0" fontId="0" fillId="0" borderId="19" xfId="0" applyNumberFormat="1" applyBorder="1" applyAlignment="1" applyProtection="1">
      <alignment horizontal="center"/>
    </xf>
    <xf numFmtId="0" fontId="0" fillId="0" borderId="0" xfId="0" applyNumberFormat="1" applyBorder="1" applyAlignment="1" applyProtection="1">
      <alignment horizontal="center"/>
    </xf>
    <xf numFmtId="0" fontId="0" fillId="0" borderId="20" xfId="0" applyNumberFormat="1" applyBorder="1" applyAlignment="1" applyProtection="1">
      <alignment horizontal="center"/>
    </xf>
    <xf numFmtId="0" fontId="0" fillId="0" borderId="11" xfId="0" applyBorder="1" applyAlignment="1" applyProtection="1">
      <alignment horizontal="center"/>
    </xf>
    <xf numFmtId="0" fontId="0" fillId="0" borderId="21" xfId="0" applyBorder="1" applyAlignment="1" applyProtection="1">
      <alignment horizontal="center"/>
    </xf>
    <xf numFmtId="0" fontId="0" fillId="0" borderId="12" xfId="0" applyBorder="1" applyAlignment="1" applyProtection="1">
      <alignment horizontal="center"/>
    </xf>
    <xf numFmtId="0" fontId="0" fillId="0" borderId="17" xfId="0" applyNumberFormat="1" applyBorder="1" applyAlignment="1" applyProtection="1">
      <alignment horizontal="center"/>
    </xf>
    <xf numFmtId="0" fontId="0" fillId="0" borderId="10" xfId="0" applyNumberFormat="1" applyBorder="1" applyAlignment="1" applyProtection="1">
      <alignment horizontal="center"/>
    </xf>
    <xf numFmtId="0" fontId="0" fillId="0" borderId="18" xfId="0" applyNumberFormat="1" applyBorder="1" applyAlignment="1" applyProtection="1">
      <alignment horizontal="center"/>
    </xf>
    <xf numFmtId="165" fontId="4" fillId="0" borderId="3" xfId="0" applyNumberFormat="1" applyFont="1" applyBorder="1" applyAlignment="1" applyProtection="1">
      <alignment horizontal="center"/>
    </xf>
    <xf numFmtId="0" fontId="30" fillId="11" borderId="0" xfId="0" applyFont="1" applyFill="1" applyAlignment="1" applyProtection="1">
      <alignment horizontal="center" vertical="center" wrapText="1"/>
    </xf>
    <xf numFmtId="0" fontId="30" fillId="11" borderId="10" xfId="0" applyFont="1" applyFill="1" applyBorder="1" applyAlignment="1" applyProtection="1">
      <alignment horizontal="center" vertical="center" wrapText="1"/>
    </xf>
    <xf numFmtId="0" fontId="0" fillId="0" borderId="11" xfId="0" applyNumberFormat="1" applyBorder="1" applyAlignment="1" applyProtection="1">
      <alignment horizontal="center"/>
    </xf>
    <xf numFmtId="0" fontId="0" fillId="0" borderId="21" xfId="0" applyNumberFormat="1" applyBorder="1" applyAlignment="1" applyProtection="1">
      <alignment horizontal="center"/>
    </xf>
    <xf numFmtId="0" fontId="0" fillId="0" borderId="12" xfId="0" applyNumberFormat="1" applyBorder="1" applyAlignment="1" applyProtection="1">
      <alignment horizontal="center"/>
    </xf>
    <xf numFmtId="165" fontId="0" fillId="0" borderId="17" xfId="0" applyNumberFormat="1" applyBorder="1" applyAlignment="1" applyProtection="1">
      <alignment horizontal="center"/>
    </xf>
    <xf numFmtId="165" fontId="0" fillId="0" borderId="10" xfId="0" applyNumberFormat="1" applyBorder="1" applyAlignment="1" applyProtection="1">
      <alignment horizontal="center"/>
    </xf>
    <xf numFmtId="165" fontId="0" fillId="0" borderId="18" xfId="0" applyNumberFormat="1" applyBorder="1" applyAlignment="1" applyProtection="1">
      <alignment horizontal="center"/>
    </xf>
    <xf numFmtId="165" fontId="4" fillId="0" borderId="4" xfId="0" applyNumberFormat="1" applyFont="1" applyBorder="1" applyAlignment="1" applyProtection="1">
      <alignment horizontal="center"/>
    </xf>
    <xf numFmtId="0" fontId="4" fillId="0" borderId="4" xfId="0" applyNumberFormat="1" applyFont="1" applyBorder="1" applyAlignment="1" applyProtection="1">
      <alignment horizontal="center" vertical="center"/>
    </xf>
    <xf numFmtId="165" fontId="4" fillId="0" borderId="4" xfId="0" applyNumberFormat="1" applyFont="1" applyBorder="1" applyAlignment="1" applyProtection="1">
      <alignment horizontal="center" wrapText="1"/>
    </xf>
    <xf numFmtId="0" fontId="4" fillId="0" borderId="4" xfId="0" applyFont="1" applyBorder="1" applyAlignment="1" applyProtection="1">
      <alignment horizontal="center" wrapText="1"/>
    </xf>
    <xf numFmtId="0" fontId="0" fillId="0" borderId="0" xfId="0" applyBorder="1" applyAlignment="1" applyProtection="1">
      <alignment horizontal="left" wrapText="1" indent="2"/>
    </xf>
    <xf numFmtId="0" fontId="1" fillId="0" borderId="0" xfId="0" applyFont="1" applyBorder="1" applyAlignment="1" applyProtection="1">
      <alignment horizontal="center"/>
    </xf>
    <xf numFmtId="0" fontId="1" fillId="0" borderId="0"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0" fillId="0" borderId="4" xfId="0" applyBorder="1" applyAlignment="1">
      <alignment horizontal="right"/>
    </xf>
    <xf numFmtId="0" fontId="0" fillId="0" borderId="11" xfId="0" applyBorder="1" applyAlignment="1">
      <alignment horizontal="right"/>
    </xf>
    <xf numFmtId="0" fontId="0" fillId="0" borderId="21" xfId="0" applyBorder="1" applyAlignment="1">
      <alignment horizontal="right"/>
    </xf>
    <xf numFmtId="0" fontId="0" fillId="0" borderId="12" xfId="0" applyBorder="1" applyAlignment="1">
      <alignment horizontal="right"/>
    </xf>
    <xf numFmtId="0" fontId="0" fillId="0" borderId="45"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0" fontId="0" fillId="0" borderId="0" xfId="0" applyBorder="1" applyAlignment="1">
      <alignment horizontal="right"/>
    </xf>
    <xf numFmtId="0" fontId="0" fillId="0" borderId="0" xfId="0" applyAlignment="1">
      <alignment horizontal="right"/>
    </xf>
    <xf numFmtId="0" fontId="6" fillId="0" borderId="4" xfId="0" applyFont="1" applyBorder="1" applyAlignment="1">
      <alignment horizontal="right"/>
    </xf>
    <xf numFmtId="10" fontId="0" fillId="0" borderId="4" xfId="0" applyNumberFormat="1" applyBorder="1" applyAlignment="1">
      <alignment horizontal="right"/>
    </xf>
    <xf numFmtId="10" fontId="0" fillId="0" borderId="1" xfId="0" applyNumberFormat="1" applyBorder="1" applyAlignment="1">
      <alignment horizontal="right"/>
    </xf>
    <xf numFmtId="10" fontId="0" fillId="0" borderId="3" xfId="0" applyNumberFormat="1" applyBorder="1" applyAlignment="1">
      <alignment horizontal="right"/>
    </xf>
    <xf numFmtId="9" fontId="0" fillId="0" borderId="4" xfId="0" applyNumberFormat="1" applyBorder="1" applyAlignment="1">
      <alignment horizontal="right"/>
    </xf>
    <xf numFmtId="0" fontId="19" fillId="0" borderId="53" xfId="0" applyFont="1" applyBorder="1" applyAlignment="1" applyProtection="1">
      <alignment horizontal="right"/>
    </xf>
    <xf numFmtId="0" fontId="19" fillId="0" borderId="76" xfId="0" applyFont="1" applyBorder="1" applyAlignment="1" applyProtection="1">
      <alignment horizontal="right"/>
    </xf>
    <xf numFmtId="0" fontId="19" fillId="0" borderId="54" xfId="0" applyFont="1" applyBorder="1" applyAlignment="1" applyProtection="1">
      <alignment horizontal="right"/>
    </xf>
    <xf numFmtId="0" fontId="19" fillId="0" borderId="55" xfId="0" applyFont="1" applyBorder="1" applyAlignment="1" applyProtection="1">
      <alignment horizontal="right"/>
    </xf>
    <xf numFmtId="0" fontId="19" fillId="0" borderId="77" xfId="0" applyFont="1" applyBorder="1" applyAlignment="1" applyProtection="1">
      <alignment horizontal="right"/>
    </xf>
    <xf numFmtId="0" fontId="19" fillId="0" borderId="52" xfId="0" applyFont="1" applyBorder="1" applyAlignment="1" applyProtection="1">
      <alignment horizontal="right"/>
    </xf>
    <xf numFmtId="0" fontId="19" fillId="0" borderId="78" xfId="0" applyFont="1" applyBorder="1" applyAlignment="1" applyProtection="1">
      <alignment horizontal="right"/>
    </xf>
    <xf numFmtId="0" fontId="19" fillId="0" borderId="79" xfId="0" applyFont="1" applyBorder="1" applyAlignment="1">
      <alignment horizontal="right"/>
    </xf>
    <xf numFmtId="0" fontId="19" fillId="0" borderId="0" xfId="0" applyFont="1" applyBorder="1" applyAlignment="1" applyProtection="1">
      <alignment horizontal="right"/>
    </xf>
    <xf numFmtId="0" fontId="19" fillId="0" borderId="0" xfId="0" applyFont="1" applyBorder="1" applyAlignment="1">
      <alignment horizontal="right"/>
    </xf>
    <xf numFmtId="0" fontId="19" fillId="0" borderId="22" xfId="0" applyFont="1" applyBorder="1" applyAlignment="1" applyProtection="1">
      <alignment horizontal="right"/>
    </xf>
    <xf numFmtId="0" fontId="19" fillId="0" borderId="23" xfId="0" applyFont="1" applyBorder="1" applyAlignment="1" applyProtection="1">
      <alignment horizontal="right"/>
    </xf>
    <xf numFmtId="0" fontId="19" fillId="0" borderId="25" xfId="0" applyFont="1" applyBorder="1" applyAlignment="1" applyProtection="1">
      <alignment horizontal="right"/>
    </xf>
    <xf numFmtId="0" fontId="19" fillId="0" borderId="27" xfId="0" applyFont="1" applyBorder="1" applyAlignment="1" applyProtection="1">
      <alignment horizontal="right"/>
    </xf>
    <xf numFmtId="0" fontId="19" fillId="0" borderId="28" xfId="0" applyFont="1" applyBorder="1" applyAlignment="1" applyProtection="1">
      <alignment horizontal="right"/>
    </xf>
    <xf numFmtId="0" fontId="20" fillId="0" borderId="0" xfId="0" applyFont="1" applyAlignment="1" applyProtection="1">
      <alignment wrapText="1"/>
    </xf>
    <xf numFmtId="0" fontId="20" fillId="0" borderId="0" xfId="0" applyFont="1" applyAlignment="1" applyProtection="1"/>
  </cellXfs>
  <cellStyles count="1">
    <cellStyle name="Standard" xfId="0" builtinId="0"/>
  </cellStyles>
  <dxfs count="47">
    <dxf>
      <font>
        <color theme="0"/>
      </font>
    </dxf>
    <dxf>
      <font>
        <color theme="0"/>
      </font>
      <border>
        <left/>
        <right/>
        <top/>
        <bottom/>
        <vertical/>
        <horizontal/>
      </border>
    </dxf>
    <dxf>
      <font>
        <color theme="0"/>
      </font>
      <border>
        <left style="thin">
          <color auto="1"/>
        </left>
        <right/>
        <top/>
        <bottom/>
        <vertical/>
        <horizontal/>
      </border>
    </dxf>
    <dxf>
      <border>
        <right/>
        <top/>
        <bottom/>
        <vertical/>
        <horizontal/>
      </border>
    </dxf>
    <dxf>
      <border>
        <right/>
        <top/>
        <bottom/>
        <vertical/>
        <horizontal/>
      </border>
    </dxf>
    <dxf>
      <border>
        <left style="thin">
          <color auto="1"/>
        </left>
        <right style="thin">
          <color auto="1"/>
        </right>
        <top style="thin">
          <color auto="1"/>
        </top>
        <bottom style="thin">
          <color auto="1"/>
        </bottom>
        <vertical/>
        <horizontal/>
      </border>
    </dxf>
    <dxf>
      <font>
        <color rgb="FFFFFFCC"/>
      </font>
    </dxf>
    <dxf>
      <font>
        <color theme="0"/>
      </font>
    </dxf>
    <dxf>
      <font>
        <color theme="0"/>
      </font>
    </dxf>
    <dxf>
      <border>
        <right/>
        <top/>
        <bottom/>
        <vertical/>
        <horizontal/>
      </border>
    </dxf>
    <dxf>
      <border>
        <left style="thin">
          <color auto="1"/>
        </left>
        <right style="thin">
          <color auto="1"/>
        </right>
        <top style="thin">
          <color auto="1"/>
        </top>
        <bottom style="thin">
          <color auto="1"/>
        </bottom>
        <vertical/>
        <horizontal/>
      </border>
    </dxf>
    <dxf>
      <font>
        <color theme="9" tint="0.79998168889431442"/>
      </font>
    </dxf>
    <dxf>
      <font>
        <color theme="0"/>
      </font>
      <fill>
        <patternFill patternType="none">
          <bgColor auto="1"/>
        </patternFill>
      </fill>
    </dxf>
    <dxf>
      <font>
        <color theme="0"/>
      </font>
    </dxf>
    <dxf>
      <font>
        <color theme="0"/>
      </font>
    </dxf>
    <dxf>
      <font>
        <color theme="0"/>
      </font>
    </dxf>
    <dxf>
      <fill>
        <patternFill>
          <bgColor theme="5" tint="0.39994506668294322"/>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theme="0"/>
      </font>
    </dxf>
    <dxf>
      <font>
        <b val="0"/>
        <i/>
        <color theme="0" tint="-0.499984740745262"/>
      </font>
    </dxf>
    <dxf>
      <font>
        <color theme="0" tint="-0.499984740745262"/>
      </font>
    </dxf>
    <dxf>
      <font>
        <color rgb="FF9C0006"/>
      </font>
      <fill>
        <patternFill>
          <bgColor rgb="FFFFC7CE"/>
        </patternFill>
      </fill>
    </dxf>
    <dxf>
      <font>
        <color rgb="FF9C0006"/>
      </font>
      <fill>
        <patternFill>
          <bgColor rgb="FFFFC7CE"/>
        </patternFill>
      </fill>
    </dxf>
    <dxf>
      <font>
        <b val="0"/>
        <i/>
        <color theme="2" tint="-0.24994659260841701"/>
      </font>
    </dxf>
    <dxf>
      <font>
        <color theme="0"/>
      </font>
    </dxf>
    <dxf>
      <font>
        <color rgb="FF9C0006"/>
      </font>
      <fill>
        <patternFill>
          <bgColor rgb="FFFFC7CE"/>
        </patternFill>
      </fill>
    </dxf>
    <dxf>
      <border>
        <left/>
        <right/>
        <top/>
        <bottom/>
        <vertical/>
        <horizontal/>
      </border>
    </dxf>
    <dxf>
      <font>
        <color theme="0"/>
      </font>
      <fill>
        <patternFill>
          <bgColor theme="0"/>
        </patternFill>
      </fill>
      <border>
        <left style="thin">
          <color auto="1"/>
        </left>
        <right/>
        <top/>
        <bottom/>
      </border>
    </dxf>
    <dxf>
      <font>
        <color rgb="FF9C0006"/>
      </font>
      <fill>
        <patternFill>
          <bgColor rgb="FFFFC7CE"/>
        </patternFill>
      </fill>
    </dxf>
    <dxf>
      <font>
        <b/>
        <i val="0"/>
      </font>
    </dxf>
    <dxf>
      <font>
        <b/>
        <i val="0"/>
      </font>
    </dxf>
    <dxf>
      <font>
        <b/>
        <i val="0"/>
      </font>
    </dxf>
    <dxf>
      <font>
        <b/>
        <i/>
      </font>
    </dxf>
    <dxf>
      <font>
        <b/>
        <i/>
      </font>
    </dxf>
    <dxf>
      <font>
        <b/>
        <i val="0"/>
      </font>
    </dxf>
    <dxf>
      <font>
        <b/>
        <i val="0"/>
      </font>
    </dxf>
    <dxf>
      <font>
        <b/>
        <i val="0"/>
      </font>
    </dxf>
    <dxf>
      <font>
        <b/>
        <i val="0"/>
      </font>
    </dxf>
    <dxf>
      <font>
        <b/>
        <i/>
      </font>
    </dxf>
    <dxf>
      <font>
        <b/>
        <i/>
      </font>
    </dxf>
    <dxf>
      <font>
        <color rgb="FF9C0006"/>
      </font>
    </dxf>
    <dxf>
      <border>
        <left style="thin">
          <color rgb="FF9C0006"/>
        </left>
        <right style="thin">
          <color rgb="FF9C0006"/>
        </right>
        <top style="thin">
          <color rgb="FF9C0006"/>
        </top>
        <bottom style="thin">
          <color rgb="FF9C0006"/>
        </bottom>
        <vertical/>
        <horizontal/>
      </border>
    </dxf>
    <dxf>
      <font>
        <color rgb="FF9C0006"/>
      </font>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hyperlink" Target="#Bedarfe!A1"/></Relationships>
</file>

<file path=xl/drawings/drawing1.xml><?xml version="1.0" encoding="utf-8"?>
<xdr:wsDr xmlns:xdr="http://schemas.openxmlformats.org/drawingml/2006/spreadsheetDrawing" xmlns:a="http://schemas.openxmlformats.org/drawingml/2006/main">
  <xdr:twoCellAnchor>
    <xdr:from>
      <xdr:col>5</xdr:col>
      <xdr:colOff>1404937</xdr:colOff>
      <xdr:row>16</xdr:row>
      <xdr:rowOff>7938</xdr:rowOff>
    </xdr:from>
    <xdr:to>
      <xdr:col>6</xdr:col>
      <xdr:colOff>1095375</xdr:colOff>
      <xdr:row>17</xdr:row>
      <xdr:rowOff>55563</xdr:rowOff>
    </xdr:to>
    <xdr:sp macro="[0]!AbgerundetesRechteck1_Klicken" textlink="">
      <xdr:nvSpPr>
        <xdr:cNvPr id="2" name="Abgerundetes Rechteck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850062" y="2968626"/>
          <a:ext cx="1270001" cy="230187"/>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weiter zu Bedarfe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481013</xdr:colOff>
      <xdr:row>111</xdr:row>
      <xdr:rowOff>152400</xdr:rowOff>
    </xdr:from>
    <xdr:to>
      <xdr:col>7</xdr:col>
      <xdr:colOff>366713</xdr:colOff>
      <xdr:row>117</xdr:row>
      <xdr:rowOff>61913</xdr:rowOff>
    </xdr:to>
    <xdr:sp macro="" textlink="">
      <xdr:nvSpPr>
        <xdr:cNvPr id="2" name="Rechteckiger Pfeil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SpPr/>
      </xdr:nvSpPr>
      <xdr:spPr>
        <a:xfrm rot="5400000">
          <a:off x="5369719" y="20285869"/>
          <a:ext cx="1004888" cy="72390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481013</xdr:colOff>
      <xdr:row>111</xdr:row>
      <xdr:rowOff>152400</xdr:rowOff>
    </xdr:from>
    <xdr:to>
      <xdr:col>7</xdr:col>
      <xdr:colOff>366713</xdr:colOff>
      <xdr:row>117</xdr:row>
      <xdr:rowOff>61913</xdr:rowOff>
    </xdr:to>
    <xdr:sp macro="" textlink="">
      <xdr:nvSpPr>
        <xdr:cNvPr id="3" name="Rechteckiger Pfeil 2">
          <a:extLst>
            <a:ext uri="{FF2B5EF4-FFF2-40B4-BE49-F238E27FC236}">
              <a16:creationId xmlns:a16="http://schemas.microsoft.com/office/drawing/2014/main" id="{00000000-0008-0000-0700-000003000000}"/>
            </a:ext>
            <a:ext uri="{C183D7F6-B498-43B3-948B-1728B52AA6E4}">
              <adec:decorative xmlns:adec="http://schemas.microsoft.com/office/drawing/2017/decorative" val="1"/>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481013</xdr:colOff>
      <xdr:row>111</xdr:row>
      <xdr:rowOff>152400</xdr:rowOff>
    </xdr:from>
    <xdr:to>
      <xdr:col>7</xdr:col>
      <xdr:colOff>366713</xdr:colOff>
      <xdr:row>117</xdr:row>
      <xdr:rowOff>61913</xdr:rowOff>
    </xdr:to>
    <xdr:sp macro="" textlink="">
      <xdr:nvSpPr>
        <xdr:cNvPr id="2" name="Rechteckiger Pfeil 1">
          <a:extLst>
            <a:ext uri="{FF2B5EF4-FFF2-40B4-BE49-F238E27FC236}">
              <a16:creationId xmlns:a16="http://schemas.microsoft.com/office/drawing/2014/main" id="{00000000-0008-0000-0800-000002000000}"/>
            </a:ext>
            <a:ext uri="{C183D7F6-B498-43B3-948B-1728B52AA6E4}">
              <adec:decorative xmlns:adec="http://schemas.microsoft.com/office/drawing/2017/decorative" val="1"/>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3" name="Rechteckiger Pfeil 2">
          <a:extLst>
            <a:ext uri="{FF2B5EF4-FFF2-40B4-BE49-F238E27FC236}">
              <a16:creationId xmlns:a16="http://schemas.microsoft.com/office/drawing/2014/main" id="{00000000-0008-0000-0800-000003000000}"/>
            </a:ext>
            <a:ext uri="{C183D7F6-B498-43B3-948B-1728B52AA6E4}">
              <adec:decorative xmlns:adec="http://schemas.microsoft.com/office/drawing/2017/decorative" val="1"/>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481013</xdr:colOff>
      <xdr:row>111</xdr:row>
      <xdr:rowOff>152400</xdr:rowOff>
    </xdr:from>
    <xdr:to>
      <xdr:col>7</xdr:col>
      <xdr:colOff>366713</xdr:colOff>
      <xdr:row>117</xdr:row>
      <xdr:rowOff>61913</xdr:rowOff>
    </xdr:to>
    <xdr:sp macro="" textlink="">
      <xdr:nvSpPr>
        <xdr:cNvPr id="2" name="Rechteckiger Pfeil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481013</xdr:colOff>
      <xdr:row>111</xdr:row>
      <xdr:rowOff>152400</xdr:rowOff>
    </xdr:from>
    <xdr:to>
      <xdr:col>7</xdr:col>
      <xdr:colOff>366713</xdr:colOff>
      <xdr:row>117</xdr:row>
      <xdr:rowOff>61913</xdr:rowOff>
    </xdr:to>
    <xdr:sp macro="" textlink="">
      <xdr:nvSpPr>
        <xdr:cNvPr id="2" name="Rechteckiger Pfeil 1">
          <a:extLst>
            <a:ext uri="{FF2B5EF4-FFF2-40B4-BE49-F238E27FC236}">
              <a16:creationId xmlns:a16="http://schemas.microsoft.com/office/drawing/2014/main" id="{00000000-0008-0000-0A00-000002000000}"/>
            </a:ext>
            <a:ext uri="{C183D7F6-B498-43B3-948B-1728B52AA6E4}">
              <adec:decorative xmlns:adec="http://schemas.microsoft.com/office/drawing/2017/decorative" val="1"/>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481013</xdr:colOff>
      <xdr:row>111</xdr:row>
      <xdr:rowOff>152400</xdr:rowOff>
    </xdr:from>
    <xdr:to>
      <xdr:col>7</xdr:col>
      <xdr:colOff>366713</xdr:colOff>
      <xdr:row>117</xdr:row>
      <xdr:rowOff>61913</xdr:rowOff>
    </xdr:to>
    <xdr:sp macro="" textlink="">
      <xdr:nvSpPr>
        <xdr:cNvPr id="2" name="Rechteckiger Pfeil 1">
          <a:extLst>
            <a:ext uri="{FF2B5EF4-FFF2-40B4-BE49-F238E27FC236}">
              <a16:creationId xmlns:a16="http://schemas.microsoft.com/office/drawing/2014/main" id="{00000000-0008-0000-0B00-000002000000}"/>
            </a:ext>
            <a:ext uri="{C183D7F6-B498-43B3-948B-1728B52AA6E4}">
              <adec:decorative xmlns:adec="http://schemas.microsoft.com/office/drawing/2017/decorative" val="1"/>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3" name="Rechteckiger Pfeil 2">
          <a:extLst>
            <a:ext uri="{FF2B5EF4-FFF2-40B4-BE49-F238E27FC236}">
              <a16:creationId xmlns:a16="http://schemas.microsoft.com/office/drawing/2014/main" id="{00000000-0008-0000-0B00-000003000000}"/>
            </a:ext>
            <a:ext uri="{C183D7F6-B498-43B3-948B-1728B52AA6E4}">
              <adec:decorative xmlns:adec="http://schemas.microsoft.com/office/drawing/2017/decorative" val="1"/>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4" name="Rechteckiger Pfeil 3">
          <a:extLst>
            <a:ext uri="{FF2B5EF4-FFF2-40B4-BE49-F238E27FC236}">
              <a16:creationId xmlns:a16="http://schemas.microsoft.com/office/drawing/2014/main" id="{00000000-0008-0000-0B00-000004000000}"/>
            </a:ext>
            <a:ext uri="{C183D7F6-B498-43B3-948B-1728B52AA6E4}">
              <adec:decorative xmlns:adec="http://schemas.microsoft.com/office/drawing/2017/decorative" val="1"/>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481013</xdr:colOff>
      <xdr:row>111</xdr:row>
      <xdr:rowOff>152400</xdr:rowOff>
    </xdr:from>
    <xdr:to>
      <xdr:col>7</xdr:col>
      <xdr:colOff>366713</xdr:colOff>
      <xdr:row>117</xdr:row>
      <xdr:rowOff>61913</xdr:rowOff>
    </xdr:to>
    <xdr:sp macro="" textlink="">
      <xdr:nvSpPr>
        <xdr:cNvPr id="2" name="Rechteckiger Pfeil 1">
          <a:extLst>
            <a:ext uri="{FF2B5EF4-FFF2-40B4-BE49-F238E27FC236}">
              <a16:creationId xmlns:a16="http://schemas.microsoft.com/office/drawing/2014/main" id="{00000000-0008-0000-0C00-000002000000}"/>
            </a:ext>
            <a:ext uri="{C183D7F6-B498-43B3-948B-1728B52AA6E4}">
              <adec:decorative xmlns:adec="http://schemas.microsoft.com/office/drawing/2017/decorative" val="1"/>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481013</xdr:colOff>
      <xdr:row>111</xdr:row>
      <xdr:rowOff>152400</xdr:rowOff>
    </xdr:from>
    <xdr:to>
      <xdr:col>7</xdr:col>
      <xdr:colOff>366713</xdr:colOff>
      <xdr:row>117</xdr:row>
      <xdr:rowOff>61913</xdr:rowOff>
    </xdr:to>
    <xdr:sp macro="" textlink="">
      <xdr:nvSpPr>
        <xdr:cNvPr id="2" name="Rechteckiger Pfeil 1">
          <a:extLst>
            <a:ext uri="{FF2B5EF4-FFF2-40B4-BE49-F238E27FC236}">
              <a16:creationId xmlns:a16="http://schemas.microsoft.com/office/drawing/2014/main" id="{00000000-0008-0000-0D00-000002000000}"/>
            </a:ext>
            <a:ext uri="{C183D7F6-B498-43B3-948B-1728B52AA6E4}">
              <adec:decorative xmlns:adec="http://schemas.microsoft.com/office/drawing/2017/decorative" val="1"/>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481013</xdr:colOff>
      <xdr:row>111</xdr:row>
      <xdr:rowOff>152400</xdr:rowOff>
    </xdr:from>
    <xdr:to>
      <xdr:col>7</xdr:col>
      <xdr:colOff>366713</xdr:colOff>
      <xdr:row>117</xdr:row>
      <xdr:rowOff>61913</xdr:rowOff>
    </xdr:to>
    <xdr:sp macro="" textlink="">
      <xdr:nvSpPr>
        <xdr:cNvPr id="2" name="Rechteckiger Pfeil 1">
          <a:extLst>
            <a:ext uri="{FF2B5EF4-FFF2-40B4-BE49-F238E27FC236}">
              <a16:creationId xmlns:a16="http://schemas.microsoft.com/office/drawing/2014/main" id="{00000000-0008-0000-0E00-000002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3" name="Rechteckiger Pfeil 2">
          <a:extLst>
            <a:ext uri="{FF2B5EF4-FFF2-40B4-BE49-F238E27FC236}">
              <a16:creationId xmlns:a16="http://schemas.microsoft.com/office/drawing/2014/main" id="{00000000-0008-0000-0E00-000003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4" name="Rechteckiger Pfeil 3">
          <a:extLst>
            <a:ext uri="{FF2B5EF4-FFF2-40B4-BE49-F238E27FC236}">
              <a16:creationId xmlns:a16="http://schemas.microsoft.com/office/drawing/2014/main" id="{00000000-0008-0000-0E00-000004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5" name="Rechteckiger Pfeil 4">
          <a:extLst>
            <a:ext uri="{FF2B5EF4-FFF2-40B4-BE49-F238E27FC236}">
              <a16:creationId xmlns:a16="http://schemas.microsoft.com/office/drawing/2014/main" id="{00000000-0008-0000-0E00-000005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481013</xdr:colOff>
      <xdr:row>111</xdr:row>
      <xdr:rowOff>152400</xdr:rowOff>
    </xdr:from>
    <xdr:to>
      <xdr:col>7</xdr:col>
      <xdr:colOff>366713</xdr:colOff>
      <xdr:row>117</xdr:row>
      <xdr:rowOff>61913</xdr:rowOff>
    </xdr:to>
    <xdr:sp macro="" textlink="">
      <xdr:nvSpPr>
        <xdr:cNvPr id="2" name="Rechteckiger Pfeil 1">
          <a:extLst>
            <a:ext uri="{FF2B5EF4-FFF2-40B4-BE49-F238E27FC236}">
              <a16:creationId xmlns:a16="http://schemas.microsoft.com/office/drawing/2014/main" id="{00000000-0008-0000-0F00-000002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3" name="Rechteckiger Pfeil 2">
          <a:extLst>
            <a:ext uri="{FF2B5EF4-FFF2-40B4-BE49-F238E27FC236}">
              <a16:creationId xmlns:a16="http://schemas.microsoft.com/office/drawing/2014/main" id="{00000000-0008-0000-0F00-000003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4" name="Rechteckiger Pfeil 3">
          <a:extLst>
            <a:ext uri="{FF2B5EF4-FFF2-40B4-BE49-F238E27FC236}">
              <a16:creationId xmlns:a16="http://schemas.microsoft.com/office/drawing/2014/main" id="{00000000-0008-0000-0F00-000004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5" name="Rechteckiger Pfeil 4">
          <a:extLst>
            <a:ext uri="{FF2B5EF4-FFF2-40B4-BE49-F238E27FC236}">
              <a16:creationId xmlns:a16="http://schemas.microsoft.com/office/drawing/2014/main" id="{00000000-0008-0000-0F00-000005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481013</xdr:colOff>
      <xdr:row>111</xdr:row>
      <xdr:rowOff>152400</xdr:rowOff>
    </xdr:from>
    <xdr:to>
      <xdr:col>7</xdr:col>
      <xdr:colOff>366713</xdr:colOff>
      <xdr:row>117</xdr:row>
      <xdr:rowOff>61913</xdr:rowOff>
    </xdr:to>
    <xdr:sp macro="" textlink="">
      <xdr:nvSpPr>
        <xdr:cNvPr id="2" name="Rechteckiger Pfeil 1">
          <a:extLst>
            <a:ext uri="{FF2B5EF4-FFF2-40B4-BE49-F238E27FC236}">
              <a16:creationId xmlns:a16="http://schemas.microsoft.com/office/drawing/2014/main" id="{00000000-0008-0000-1000-000002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3" name="Rechteckiger Pfeil 2">
          <a:extLst>
            <a:ext uri="{FF2B5EF4-FFF2-40B4-BE49-F238E27FC236}">
              <a16:creationId xmlns:a16="http://schemas.microsoft.com/office/drawing/2014/main" id="{00000000-0008-0000-1000-000003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4" name="Rechteckiger Pfeil 3">
          <a:extLst>
            <a:ext uri="{FF2B5EF4-FFF2-40B4-BE49-F238E27FC236}">
              <a16:creationId xmlns:a16="http://schemas.microsoft.com/office/drawing/2014/main" id="{00000000-0008-0000-1000-000004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5" name="Rechteckiger Pfeil 4">
          <a:extLst>
            <a:ext uri="{FF2B5EF4-FFF2-40B4-BE49-F238E27FC236}">
              <a16:creationId xmlns:a16="http://schemas.microsoft.com/office/drawing/2014/main" id="{00000000-0008-0000-1000-000005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6" name="Rechteckiger Pfeil 5">
          <a:extLst>
            <a:ext uri="{FF2B5EF4-FFF2-40B4-BE49-F238E27FC236}">
              <a16:creationId xmlns:a16="http://schemas.microsoft.com/office/drawing/2014/main" id="{00000000-0008-0000-1000-000006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7" name="Rechteckiger Pfeil 6">
          <a:extLst>
            <a:ext uri="{FF2B5EF4-FFF2-40B4-BE49-F238E27FC236}">
              <a16:creationId xmlns:a16="http://schemas.microsoft.com/office/drawing/2014/main" id="{00000000-0008-0000-1000-000007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8" name="Rechteckiger Pfeil 7">
          <a:extLst>
            <a:ext uri="{FF2B5EF4-FFF2-40B4-BE49-F238E27FC236}">
              <a16:creationId xmlns:a16="http://schemas.microsoft.com/office/drawing/2014/main" id="{00000000-0008-0000-1000-000008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9" name="Rechteckiger Pfeil 8">
          <a:extLst>
            <a:ext uri="{FF2B5EF4-FFF2-40B4-BE49-F238E27FC236}">
              <a16:creationId xmlns:a16="http://schemas.microsoft.com/office/drawing/2014/main" id="{00000000-0008-0000-1000-000009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481013</xdr:colOff>
      <xdr:row>111</xdr:row>
      <xdr:rowOff>152400</xdr:rowOff>
    </xdr:from>
    <xdr:to>
      <xdr:col>7</xdr:col>
      <xdr:colOff>366713</xdr:colOff>
      <xdr:row>117</xdr:row>
      <xdr:rowOff>61913</xdr:rowOff>
    </xdr:to>
    <xdr:sp macro="" textlink="">
      <xdr:nvSpPr>
        <xdr:cNvPr id="2" name="Rechteckiger Pfeil 1">
          <a:extLst>
            <a:ext uri="{FF2B5EF4-FFF2-40B4-BE49-F238E27FC236}">
              <a16:creationId xmlns:a16="http://schemas.microsoft.com/office/drawing/2014/main" id="{00000000-0008-0000-1100-000002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3" name="Rechteckiger Pfeil 2">
          <a:extLst>
            <a:ext uri="{FF2B5EF4-FFF2-40B4-BE49-F238E27FC236}">
              <a16:creationId xmlns:a16="http://schemas.microsoft.com/office/drawing/2014/main" id="{00000000-0008-0000-1100-000003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4" name="Rechteckiger Pfeil 3">
          <a:extLst>
            <a:ext uri="{FF2B5EF4-FFF2-40B4-BE49-F238E27FC236}">
              <a16:creationId xmlns:a16="http://schemas.microsoft.com/office/drawing/2014/main" id="{00000000-0008-0000-1100-000004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5" name="Rechteckiger Pfeil 4">
          <a:extLst>
            <a:ext uri="{FF2B5EF4-FFF2-40B4-BE49-F238E27FC236}">
              <a16:creationId xmlns:a16="http://schemas.microsoft.com/office/drawing/2014/main" id="{00000000-0008-0000-1100-000005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6" name="Rechteckiger Pfeil 5">
          <a:extLst>
            <a:ext uri="{FF2B5EF4-FFF2-40B4-BE49-F238E27FC236}">
              <a16:creationId xmlns:a16="http://schemas.microsoft.com/office/drawing/2014/main" id="{00000000-0008-0000-1100-000006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7" name="Rechteckiger Pfeil 6">
          <a:extLst>
            <a:ext uri="{FF2B5EF4-FFF2-40B4-BE49-F238E27FC236}">
              <a16:creationId xmlns:a16="http://schemas.microsoft.com/office/drawing/2014/main" id="{00000000-0008-0000-1100-000007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8" name="Rechteckiger Pfeil 7">
          <a:extLst>
            <a:ext uri="{FF2B5EF4-FFF2-40B4-BE49-F238E27FC236}">
              <a16:creationId xmlns:a16="http://schemas.microsoft.com/office/drawing/2014/main" id="{00000000-0008-0000-1100-000008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9" name="Rechteckiger Pfeil 8">
          <a:extLst>
            <a:ext uri="{FF2B5EF4-FFF2-40B4-BE49-F238E27FC236}">
              <a16:creationId xmlns:a16="http://schemas.microsoft.com/office/drawing/2014/main" id="{00000000-0008-0000-1100-000009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0" name="Rechteckiger Pfeil 9">
          <a:extLst>
            <a:ext uri="{FF2B5EF4-FFF2-40B4-BE49-F238E27FC236}">
              <a16:creationId xmlns:a16="http://schemas.microsoft.com/office/drawing/2014/main" id="{00000000-0008-0000-1100-00000A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1" name="Rechteckiger Pfeil 10">
          <a:extLst>
            <a:ext uri="{FF2B5EF4-FFF2-40B4-BE49-F238E27FC236}">
              <a16:creationId xmlns:a16="http://schemas.microsoft.com/office/drawing/2014/main" id="{00000000-0008-0000-1100-00000B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2" name="Rechteckiger Pfeil 11">
          <a:extLst>
            <a:ext uri="{FF2B5EF4-FFF2-40B4-BE49-F238E27FC236}">
              <a16:creationId xmlns:a16="http://schemas.microsoft.com/office/drawing/2014/main" id="{00000000-0008-0000-1100-00000C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3" name="Rechteckiger Pfeil 12">
          <a:extLst>
            <a:ext uri="{FF2B5EF4-FFF2-40B4-BE49-F238E27FC236}">
              <a16:creationId xmlns:a16="http://schemas.microsoft.com/office/drawing/2014/main" id="{00000000-0008-0000-1100-00000D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4" name="Rechteckiger Pfeil 13">
          <a:extLst>
            <a:ext uri="{FF2B5EF4-FFF2-40B4-BE49-F238E27FC236}">
              <a16:creationId xmlns:a16="http://schemas.microsoft.com/office/drawing/2014/main" id="{00000000-0008-0000-1100-00000E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5" name="Rechteckiger Pfeil 14">
          <a:extLst>
            <a:ext uri="{FF2B5EF4-FFF2-40B4-BE49-F238E27FC236}">
              <a16:creationId xmlns:a16="http://schemas.microsoft.com/office/drawing/2014/main" id="{00000000-0008-0000-1100-00000F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6" name="Rechteckiger Pfeil 15">
          <a:extLst>
            <a:ext uri="{FF2B5EF4-FFF2-40B4-BE49-F238E27FC236}">
              <a16:creationId xmlns:a16="http://schemas.microsoft.com/office/drawing/2014/main" id="{00000000-0008-0000-1100-000010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7" name="Rechteckiger Pfeil 16">
          <a:extLst>
            <a:ext uri="{FF2B5EF4-FFF2-40B4-BE49-F238E27FC236}">
              <a16:creationId xmlns:a16="http://schemas.microsoft.com/office/drawing/2014/main" id="{00000000-0008-0000-1100-000011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481013</xdr:colOff>
      <xdr:row>111</xdr:row>
      <xdr:rowOff>152400</xdr:rowOff>
    </xdr:from>
    <xdr:to>
      <xdr:col>7</xdr:col>
      <xdr:colOff>366713</xdr:colOff>
      <xdr:row>117</xdr:row>
      <xdr:rowOff>61913</xdr:rowOff>
    </xdr:to>
    <xdr:sp macro="" textlink="">
      <xdr:nvSpPr>
        <xdr:cNvPr id="2" name="Rechteckiger Pfeil 1">
          <a:extLst>
            <a:ext uri="{FF2B5EF4-FFF2-40B4-BE49-F238E27FC236}">
              <a16:creationId xmlns:a16="http://schemas.microsoft.com/office/drawing/2014/main" id="{00000000-0008-0000-1200-000002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3" name="Rechteckiger Pfeil 2">
          <a:extLst>
            <a:ext uri="{FF2B5EF4-FFF2-40B4-BE49-F238E27FC236}">
              <a16:creationId xmlns:a16="http://schemas.microsoft.com/office/drawing/2014/main" id="{00000000-0008-0000-1200-000003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4" name="Rechteckiger Pfeil 3">
          <a:extLst>
            <a:ext uri="{FF2B5EF4-FFF2-40B4-BE49-F238E27FC236}">
              <a16:creationId xmlns:a16="http://schemas.microsoft.com/office/drawing/2014/main" id="{00000000-0008-0000-1200-000004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5" name="Rechteckiger Pfeil 4">
          <a:extLst>
            <a:ext uri="{FF2B5EF4-FFF2-40B4-BE49-F238E27FC236}">
              <a16:creationId xmlns:a16="http://schemas.microsoft.com/office/drawing/2014/main" id="{00000000-0008-0000-1200-000005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6" name="Rechteckiger Pfeil 5">
          <a:extLst>
            <a:ext uri="{FF2B5EF4-FFF2-40B4-BE49-F238E27FC236}">
              <a16:creationId xmlns:a16="http://schemas.microsoft.com/office/drawing/2014/main" id="{00000000-0008-0000-1200-000006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7" name="Rechteckiger Pfeil 6">
          <a:extLst>
            <a:ext uri="{FF2B5EF4-FFF2-40B4-BE49-F238E27FC236}">
              <a16:creationId xmlns:a16="http://schemas.microsoft.com/office/drawing/2014/main" id="{00000000-0008-0000-1200-000007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8" name="Rechteckiger Pfeil 7">
          <a:extLst>
            <a:ext uri="{FF2B5EF4-FFF2-40B4-BE49-F238E27FC236}">
              <a16:creationId xmlns:a16="http://schemas.microsoft.com/office/drawing/2014/main" id="{00000000-0008-0000-1200-000008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9" name="Rechteckiger Pfeil 8">
          <a:extLst>
            <a:ext uri="{FF2B5EF4-FFF2-40B4-BE49-F238E27FC236}">
              <a16:creationId xmlns:a16="http://schemas.microsoft.com/office/drawing/2014/main" id="{00000000-0008-0000-1200-000009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0" name="Rechteckiger Pfeil 9">
          <a:extLst>
            <a:ext uri="{FF2B5EF4-FFF2-40B4-BE49-F238E27FC236}">
              <a16:creationId xmlns:a16="http://schemas.microsoft.com/office/drawing/2014/main" id="{00000000-0008-0000-1200-00000A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1" name="Rechteckiger Pfeil 10">
          <a:extLst>
            <a:ext uri="{FF2B5EF4-FFF2-40B4-BE49-F238E27FC236}">
              <a16:creationId xmlns:a16="http://schemas.microsoft.com/office/drawing/2014/main" id="{00000000-0008-0000-1200-00000B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2" name="Rechteckiger Pfeil 11">
          <a:extLst>
            <a:ext uri="{FF2B5EF4-FFF2-40B4-BE49-F238E27FC236}">
              <a16:creationId xmlns:a16="http://schemas.microsoft.com/office/drawing/2014/main" id="{00000000-0008-0000-1200-00000C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3" name="Rechteckiger Pfeil 12">
          <a:extLst>
            <a:ext uri="{FF2B5EF4-FFF2-40B4-BE49-F238E27FC236}">
              <a16:creationId xmlns:a16="http://schemas.microsoft.com/office/drawing/2014/main" id="{00000000-0008-0000-1200-00000D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4" name="Rechteckiger Pfeil 13">
          <a:extLst>
            <a:ext uri="{FF2B5EF4-FFF2-40B4-BE49-F238E27FC236}">
              <a16:creationId xmlns:a16="http://schemas.microsoft.com/office/drawing/2014/main" id="{00000000-0008-0000-1200-00000E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5" name="Rechteckiger Pfeil 14">
          <a:extLst>
            <a:ext uri="{FF2B5EF4-FFF2-40B4-BE49-F238E27FC236}">
              <a16:creationId xmlns:a16="http://schemas.microsoft.com/office/drawing/2014/main" id="{00000000-0008-0000-1200-00000F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6" name="Rechteckiger Pfeil 15">
          <a:extLst>
            <a:ext uri="{FF2B5EF4-FFF2-40B4-BE49-F238E27FC236}">
              <a16:creationId xmlns:a16="http://schemas.microsoft.com/office/drawing/2014/main" id="{00000000-0008-0000-1200-000010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7" name="Rechteckiger Pfeil 16">
          <a:extLst>
            <a:ext uri="{FF2B5EF4-FFF2-40B4-BE49-F238E27FC236}">
              <a16:creationId xmlns:a16="http://schemas.microsoft.com/office/drawing/2014/main" id="{00000000-0008-0000-1200-000011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481013</xdr:colOff>
      <xdr:row>111</xdr:row>
      <xdr:rowOff>152400</xdr:rowOff>
    </xdr:from>
    <xdr:to>
      <xdr:col>7</xdr:col>
      <xdr:colOff>366713</xdr:colOff>
      <xdr:row>117</xdr:row>
      <xdr:rowOff>61913</xdr:rowOff>
    </xdr:to>
    <xdr:sp macro="" textlink="">
      <xdr:nvSpPr>
        <xdr:cNvPr id="2" name="Rechteckiger Pfeil 1">
          <a:extLst>
            <a:ext uri="{FF2B5EF4-FFF2-40B4-BE49-F238E27FC236}">
              <a16:creationId xmlns:a16="http://schemas.microsoft.com/office/drawing/2014/main" id="{00000000-0008-0000-1300-000002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3" name="Rechteckiger Pfeil 2">
          <a:extLst>
            <a:ext uri="{FF2B5EF4-FFF2-40B4-BE49-F238E27FC236}">
              <a16:creationId xmlns:a16="http://schemas.microsoft.com/office/drawing/2014/main" id="{00000000-0008-0000-1300-000003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4" name="Rechteckiger Pfeil 3">
          <a:extLst>
            <a:ext uri="{FF2B5EF4-FFF2-40B4-BE49-F238E27FC236}">
              <a16:creationId xmlns:a16="http://schemas.microsoft.com/office/drawing/2014/main" id="{00000000-0008-0000-1300-000004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5" name="Rechteckiger Pfeil 4">
          <a:extLst>
            <a:ext uri="{FF2B5EF4-FFF2-40B4-BE49-F238E27FC236}">
              <a16:creationId xmlns:a16="http://schemas.microsoft.com/office/drawing/2014/main" id="{00000000-0008-0000-1300-000005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6" name="Rechteckiger Pfeil 5">
          <a:extLst>
            <a:ext uri="{FF2B5EF4-FFF2-40B4-BE49-F238E27FC236}">
              <a16:creationId xmlns:a16="http://schemas.microsoft.com/office/drawing/2014/main" id="{00000000-0008-0000-1300-000006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7" name="Rechteckiger Pfeil 6">
          <a:extLst>
            <a:ext uri="{FF2B5EF4-FFF2-40B4-BE49-F238E27FC236}">
              <a16:creationId xmlns:a16="http://schemas.microsoft.com/office/drawing/2014/main" id="{00000000-0008-0000-1300-000007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8" name="Rechteckiger Pfeil 7">
          <a:extLst>
            <a:ext uri="{FF2B5EF4-FFF2-40B4-BE49-F238E27FC236}">
              <a16:creationId xmlns:a16="http://schemas.microsoft.com/office/drawing/2014/main" id="{00000000-0008-0000-1300-000008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9" name="Rechteckiger Pfeil 8">
          <a:extLst>
            <a:ext uri="{FF2B5EF4-FFF2-40B4-BE49-F238E27FC236}">
              <a16:creationId xmlns:a16="http://schemas.microsoft.com/office/drawing/2014/main" id="{00000000-0008-0000-1300-000009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0" name="Rechteckiger Pfeil 9">
          <a:extLst>
            <a:ext uri="{FF2B5EF4-FFF2-40B4-BE49-F238E27FC236}">
              <a16:creationId xmlns:a16="http://schemas.microsoft.com/office/drawing/2014/main" id="{00000000-0008-0000-1300-00000A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1" name="Rechteckiger Pfeil 10">
          <a:extLst>
            <a:ext uri="{FF2B5EF4-FFF2-40B4-BE49-F238E27FC236}">
              <a16:creationId xmlns:a16="http://schemas.microsoft.com/office/drawing/2014/main" id="{00000000-0008-0000-1300-00000B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2" name="Rechteckiger Pfeil 11">
          <a:extLst>
            <a:ext uri="{FF2B5EF4-FFF2-40B4-BE49-F238E27FC236}">
              <a16:creationId xmlns:a16="http://schemas.microsoft.com/office/drawing/2014/main" id="{00000000-0008-0000-1300-00000C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3" name="Rechteckiger Pfeil 12">
          <a:extLst>
            <a:ext uri="{FF2B5EF4-FFF2-40B4-BE49-F238E27FC236}">
              <a16:creationId xmlns:a16="http://schemas.microsoft.com/office/drawing/2014/main" id="{00000000-0008-0000-1300-00000D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4" name="Rechteckiger Pfeil 13">
          <a:extLst>
            <a:ext uri="{FF2B5EF4-FFF2-40B4-BE49-F238E27FC236}">
              <a16:creationId xmlns:a16="http://schemas.microsoft.com/office/drawing/2014/main" id="{00000000-0008-0000-1300-00000E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5" name="Rechteckiger Pfeil 14">
          <a:extLst>
            <a:ext uri="{FF2B5EF4-FFF2-40B4-BE49-F238E27FC236}">
              <a16:creationId xmlns:a16="http://schemas.microsoft.com/office/drawing/2014/main" id="{00000000-0008-0000-1300-00000F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6" name="Rechteckiger Pfeil 15">
          <a:extLst>
            <a:ext uri="{FF2B5EF4-FFF2-40B4-BE49-F238E27FC236}">
              <a16:creationId xmlns:a16="http://schemas.microsoft.com/office/drawing/2014/main" id="{00000000-0008-0000-1300-000010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7" name="Rechteckiger Pfeil 16">
          <a:extLst>
            <a:ext uri="{FF2B5EF4-FFF2-40B4-BE49-F238E27FC236}">
              <a16:creationId xmlns:a16="http://schemas.microsoft.com/office/drawing/2014/main" id="{00000000-0008-0000-1300-000011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481013</xdr:colOff>
      <xdr:row>111</xdr:row>
      <xdr:rowOff>152400</xdr:rowOff>
    </xdr:from>
    <xdr:to>
      <xdr:col>7</xdr:col>
      <xdr:colOff>366713</xdr:colOff>
      <xdr:row>117</xdr:row>
      <xdr:rowOff>61913</xdr:rowOff>
    </xdr:to>
    <xdr:sp macro="" textlink="">
      <xdr:nvSpPr>
        <xdr:cNvPr id="2" name="Rechteckiger Pfeil 1">
          <a:extLst>
            <a:ext uri="{FF2B5EF4-FFF2-40B4-BE49-F238E27FC236}">
              <a16:creationId xmlns:a16="http://schemas.microsoft.com/office/drawing/2014/main" id="{00000000-0008-0000-1400-000002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3" name="Rechteckiger Pfeil 2">
          <a:extLst>
            <a:ext uri="{FF2B5EF4-FFF2-40B4-BE49-F238E27FC236}">
              <a16:creationId xmlns:a16="http://schemas.microsoft.com/office/drawing/2014/main" id="{00000000-0008-0000-1400-000003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4" name="Rechteckiger Pfeil 3">
          <a:extLst>
            <a:ext uri="{FF2B5EF4-FFF2-40B4-BE49-F238E27FC236}">
              <a16:creationId xmlns:a16="http://schemas.microsoft.com/office/drawing/2014/main" id="{00000000-0008-0000-1400-000004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5" name="Rechteckiger Pfeil 4">
          <a:extLst>
            <a:ext uri="{FF2B5EF4-FFF2-40B4-BE49-F238E27FC236}">
              <a16:creationId xmlns:a16="http://schemas.microsoft.com/office/drawing/2014/main" id="{00000000-0008-0000-1400-000005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6" name="Rechteckiger Pfeil 5">
          <a:extLst>
            <a:ext uri="{FF2B5EF4-FFF2-40B4-BE49-F238E27FC236}">
              <a16:creationId xmlns:a16="http://schemas.microsoft.com/office/drawing/2014/main" id="{00000000-0008-0000-1400-000006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7" name="Rechteckiger Pfeil 6">
          <a:extLst>
            <a:ext uri="{FF2B5EF4-FFF2-40B4-BE49-F238E27FC236}">
              <a16:creationId xmlns:a16="http://schemas.microsoft.com/office/drawing/2014/main" id="{00000000-0008-0000-1400-000007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8" name="Rechteckiger Pfeil 7">
          <a:extLst>
            <a:ext uri="{FF2B5EF4-FFF2-40B4-BE49-F238E27FC236}">
              <a16:creationId xmlns:a16="http://schemas.microsoft.com/office/drawing/2014/main" id="{00000000-0008-0000-1400-000008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9" name="Rechteckiger Pfeil 8">
          <a:extLst>
            <a:ext uri="{FF2B5EF4-FFF2-40B4-BE49-F238E27FC236}">
              <a16:creationId xmlns:a16="http://schemas.microsoft.com/office/drawing/2014/main" id="{00000000-0008-0000-1400-000009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0" name="Rechteckiger Pfeil 9">
          <a:extLst>
            <a:ext uri="{FF2B5EF4-FFF2-40B4-BE49-F238E27FC236}">
              <a16:creationId xmlns:a16="http://schemas.microsoft.com/office/drawing/2014/main" id="{00000000-0008-0000-1400-00000A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1" name="Rechteckiger Pfeil 10">
          <a:extLst>
            <a:ext uri="{FF2B5EF4-FFF2-40B4-BE49-F238E27FC236}">
              <a16:creationId xmlns:a16="http://schemas.microsoft.com/office/drawing/2014/main" id="{00000000-0008-0000-1400-00000B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2" name="Rechteckiger Pfeil 11">
          <a:extLst>
            <a:ext uri="{FF2B5EF4-FFF2-40B4-BE49-F238E27FC236}">
              <a16:creationId xmlns:a16="http://schemas.microsoft.com/office/drawing/2014/main" id="{00000000-0008-0000-1400-00000C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3" name="Rechteckiger Pfeil 12">
          <a:extLst>
            <a:ext uri="{FF2B5EF4-FFF2-40B4-BE49-F238E27FC236}">
              <a16:creationId xmlns:a16="http://schemas.microsoft.com/office/drawing/2014/main" id="{00000000-0008-0000-1400-00000D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4" name="Rechteckiger Pfeil 13">
          <a:extLst>
            <a:ext uri="{FF2B5EF4-FFF2-40B4-BE49-F238E27FC236}">
              <a16:creationId xmlns:a16="http://schemas.microsoft.com/office/drawing/2014/main" id="{00000000-0008-0000-1400-00000E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5" name="Rechteckiger Pfeil 14">
          <a:extLst>
            <a:ext uri="{FF2B5EF4-FFF2-40B4-BE49-F238E27FC236}">
              <a16:creationId xmlns:a16="http://schemas.microsoft.com/office/drawing/2014/main" id="{00000000-0008-0000-1400-00000F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6" name="Rechteckiger Pfeil 15">
          <a:extLst>
            <a:ext uri="{FF2B5EF4-FFF2-40B4-BE49-F238E27FC236}">
              <a16:creationId xmlns:a16="http://schemas.microsoft.com/office/drawing/2014/main" id="{00000000-0008-0000-1400-000010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481013</xdr:colOff>
      <xdr:row>111</xdr:row>
      <xdr:rowOff>152400</xdr:rowOff>
    </xdr:from>
    <xdr:to>
      <xdr:col>7</xdr:col>
      <xdr:colOff>366713</xdr:colOff>
      <xdr:row>117</xdr:row>
      <xdr:rowOff>61913</xdr:rowOff>
    </xdr:to>
    <xdr:sp macro="" textlink="">
      <xdr:nvSpPr>
        <xdr:cNvPr id="17" name="Rechteckiger Pfeil 16">
          <a:extLst>
            <a:ext uri="{FF2B5EF4-FFF2-40B4-BE49-F238E27FC236}">
              <a16:creationId xmlns:a16="http://schemas.microsoft.com/office/drawing/2014/main" id="{00000000-0008-0000-1400-000011000000}"/>
            </a:ext>
          </a:extLst>
        </xdr:cNvPr>
        <xdr:cNvSpPr/>
      </xdr:nvSpPr>
      <xdr:spPr>
        <a:xfrm rot="5400000">
          <a:off x="5493544" y="20095369"/>
          <a:ext cx="1004888" cy="742950"/>
        </a:xfrm>
        <a:prstGeom prst="bentArrow">
          <a:avLst>
            <a:gd name="adj1" fmla="val 25000"/>
            <a:gd name="adj2" fmla="val 25641"/>
            <a:gd name="adj3" fmla="val 25000"/>
            <a:gd name="adj4" fmla="val 4375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233796</xdr:colOff>
      <xdr:row>76</xdr:row>
      <xdr:rowOff>77931</xdr:rowOff>
    </xdr:from>
    <xdr:to>
      <xdr:col>4</xdr:col>
      <xdr:colOff>675409</xdr:colOff>
      <xdr:row>87</xdr:row>
      <xdr:rowOff>51954</xdr:rowOff>
    </xdr:to>
    <xdr:sp macro="" textlink="">
      <xdr:nvSpPr>
        <xdr:cNvPr id="2" name="Geschweifte Klammer rechts 1">
          <a:extLst>
            <a:ext uri="{FF2B5EF4-FFF2-40B4-BE49-F238E27FC236}">
              <a16:creationId xmlns:a16="http://schemas.microsoft.com/office/drawing/2014/main" id="{00000000-0008-0000-1700-000002000000}"/>
            </a:ext>
            <a:ext uri="{C183D7F6-B498-43B3-948B-1728B52AA6E4}">
              <adec:decorative xmlns:adec="http://schemas.microsoft.com/office/drawing/2017/decorative" val="1"/>
            </a:ext>
          </a:extLst>
        </xdr:cNvPr>
        <xdr:cNvSpPr/>
      </xdr:nvSpPr>
      <xdr:spPr>
        <a:xfrm>
          <a:off x="3688773" y="13274386"/>
          <a:ext cx="441613" cy="1982932"/>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solidFill>
              <a:sysClr val="windowText" lastClr="000000"/>
            </a:solidFill>
          </a:endParaRPr>
        </a:p>
      </xdr:txBody>
    </xdr:sp>
    <xdr:clientData/>
  </xdr:twoCellAnchor>
  <xdr:twoCellAnchor>
    <xdr:from>
      <xdr:col>4</xdr:col>
      <xdr:colOff>233796</xdr:colOff>
      <xdr:row>92</xdr:row>
      <xdr:rowOff>77931</xdr:rowOff>
    </xdr:from>
    <xdr:to>
      <xdr:col>4</xdr:col>
      <xdr:colOff>675409</xdr:colOff>
      <xdr:row>103</xdr:row>
      <xdr:rowOff>51954</xdr:rowOff>
    </xdr:to>
    <xdr:sp macro="" textlink="">
      <xdr:nvSpPr>
        <xdr:cNvPr id="4" name="Geschweifte Klammer rechts 3">
          <a:extLst>
            <a:ext uri="{FF2B5EF4-FFF2-40B4-BE49-F238E27FC236}">
              <a16:creationId xmlns:a16="http://schemas.microsoft.com/office/drawing/2014/main" id="{00000000-0008-0000-1700-000004000000}"/>
            </a:ext>
            <a:ext uri="{C183D7F6-B498-43B3-948B-1728B52AA6E4}">
              <adec:decorative xmlns:adec="http://schemas.microsoft.com/office/drawing/2017/decorative" val="1"/>
            </a:ext>
          </a:extLst>
        </xdr:cNvPr>
        <xdr:cNvSpPr/>
      </xdr:nvSpPr>
      <xdr:spPr>
        <a:xfrm>
          <a:off x="3713596" y="14251131"/>
          <a:ext cx="441613" cy="196792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419100</xdr:colOff>
      <xdr:row>51</xdr:row>
      <xdr:rowOff>95250</xdr:rowOff>
    </xdr:from>
    <xdr:to>
      <xdr:col>1</xdr:col>
      <xdr:colOff>638175</xdr:colOff>
      <xdr:row>54</xdr:row>
      <xdr:rowOff>133350</xdr:rowOff>
    </xdr:to>
    <xdr:sp macro="" textlink="">
      <xdr:nvSpPr>
        <xdr:cNvPr id="3" name="Pfeil nach unten 2">
          <a:extLst>
            <a:ext uri="{FF2B5EF4-FFF2-40B4-BE49-F238E27FC236}">
              <a16:creationId xmlns:a16="http://schemas.microsoft.com/office/drawing/2014/main" id="{00000000-0008-0000-1800-000003000000}"/>
            </a:ext>
          </a:extLst>
        </xdr:cNvPr>
        <xdr:cNvSpPr/>
      </xdr:nvSpPr>
      <xdr:spPr>
        <a:xfrm>
          <a:off x="6419850" y="3781425"/>
          <a:ext cx="219075" cy="581025"/>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xdr:from>
          <xdr:col>5</xdr:col>
          <xdr:colOff>457200</xdr:colOff>
          <xdr:row>109</xdr:row>
          <xdr:rowOff>104775</xdr:rowOff>
        </xdr:from>
        <xdr:to>
          <xdr:col>8</xdr:col>
          <xdr:colOff>361950</xdr:colOff>
          <xdr:row>112</xdr:row>
          <xdr:rowOff>133350</xdr:rowOff>
        </xdr:to>
        <xdr:sp macro="" textlink="">
          <xdr:nvSpPr>
            <xdr:cNvPr id="66564" name="Button 4" hidden="1">
              <a:extLst>
                <a:ext uri="{63B3BB69-23CF-44E3-9099-C40C66FF867C}">
                  <a14:compatExt spid="_x0000_s66564"/>
                </a:ext>
                <a:ext uri="{FF2B5EF4-FFF2-40B4-BE49-F238E27FC236}">
                  <a16:creationId xmlns:a16="http://schemas.microsoft.com/office/drawing/2014/main" id="{00000000-0008-0000-1800-0000040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100" b="0" i="0" u="none" strike="noStrike" baseline="0">
                  <a:solidFill>
                    <a:srgbClr val="000000"/>
                  </a:solidFill>
                  <a:latin typeface="Arial"/>
                  <a:cs typeface="Arial"/>
                </a:rPr>
                <a:t>Druck in eAkte</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552450</xdr:colOff>
          <xdr:row>85</xdr:row>
          <xdr:rowOff>114300</xdr:rowOff>
        </xdr:from>
        <xdr:to>
          <xdr:col>8</xdr:col>
          <xdr:colOff>514350</xdr:colOff>
          <xdr:row>88</xdr:row>
          <xdr:rowOff>142875</xdr:rowOff>
        </xdr:to>
        <xdr:sp macro="" textlink="">
          <xdr:nvSpPr>
            <xdr:cNvPr id="74755" name="Button 3" hidden="1">
              <a:extLst>
                <a:ext uri="{63B3BB69-23CF-44E3-9099-C40C66FF867C}">
                  <a14:compatExt spid="_x0000_s74755"/>
                </a:ext>
                <a:ext uri="{FF2B5EF4-FFF2-40B4-BE49-F238E27FC236}">
                  <a16:creationId xmlns:a16="http://schemas.microsoft.com/office/drawing/2014/main" id="{00000000-0008-0000-1900-0000032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100" b="0" i="0" u="none" strike="noStrike" baseline="0">
                  <a:solidFill>
                    <a:srgbClr val="000000"/>
                  </a:solidFill>
                  <a:latin typeface="Arial"/>
                  <a:cs typeface="Arial"/>
                </a:rPr>
                <a:t>Druck in E-AKTE</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2</xdr:col>
      <xdr:colOff>465605</xdr:colOff>
      <xdr:row>89</xdr:row>
      <xdr:rowOff>95250</xdr:rowOff>
    </xdr:from>
    <xdr:to>
      <xdr:col>8</xdr:col>
      <xdr:colOff>142875</xdr:colOff>
      <xdr:row>91</xdr:row>
      <xdr:rowOff>66675</xdr:rowOff>
    </xdr:to>
    <xdr:sp macro="" textlink="">
      <xdr:nvSpPr>
        <xdr:cNvPr id="10" name="Ellipse 9">
          <a:extLst>
            <a:ext uri="{FF2B5EF4-FFF2-40B4-BE49-F238E27FC236}">
              <a16:creationId xmlns:a16="http://schemas.microsoft.com/office/drawing/2014/main" id="{00000000-0008-0000-1A00-00000A000000}"/>
            </a:ext>
          </a:extLst>
        </xdr:cNvPr>
        <xdr:cNvSpPr/>
      </xdr:nvSpPr>
      <xdr:spPr>
        <a:xfrm>
          <a:off x="1456205" y="16868775"/>
          <a:ext cx="4706470" cy="3429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257175</xdr:colOff>
      <xdr:row>90</xdr:row>
      <xdr:rowOff>95250</xdr:rowOff>
    </xdr:from>
    <xdr:to>
      <xdr:col>8</xdr:col>
      <xdr:colOff>831477</xdr:colOff>
      <xdr:row>90</xdr:row>
      <xdr:rowOff>102534</xdr:rowOff>
    </xdr:to>
    <xdr:cxnSp macro="">
      <xdr:nvCxnSpPr>
        <xdr:cNvPr id="11" name="Gerade Verbindung mit Pfeil 10">
          <a:extLst>
            <a:ext uri="{FF2B5EF4-FFF2-40B4-BE49-F238E27FC236}">
              <a16:creationId xmlns:a16="http://schemas.microsoft.com/office/drawing/2014/main" id="{00000000-0008-0000-1A00-00000B000000}"/>
            </a:ext>
          </a:extLst>
        </xdr:cNvPr>
        <xdr:cNvCxnSpPr/>
      </xdr:nvCxnSpPr>
      <xdr:spPr>
        <a:xfrm flipH="1" flipV="1">
          <a:off x="6276975" y="17049750"/>
          <a:ext cx="574302" cy="728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829235</xdr:colOff>
      <xdr:row>97</xdr:row>
      <xdr:rowOff>156882</xdr:rowOff>
    </xdr:from>
    <xdr:to>
      <xdr:col>6</xdr:col>
      <xdr:colOff>690283</xdr:colOff>
      <xdr:row>99</xdr:row>
      <xdr:rowOff>29135</xdr:rowOff>
    </xdr:to>
    <xdr:sp macro="" textlink="">
      <xdr:nvSpPr>
        <xdr:cNvPr id="12" name="Ellipse 11">
          <a:extLst>
            <a:ext uri="{FF2B5EF4-FFF2-40B4-BE49-F238E27FC236}">
              <a16:creationId xmlns:a16="http://schemas.microsoft.com/office/drawing/2014/main" id="{00000000-0008-0000-1A00-00000C000000}"/>
            </a:ext>
          </a:extLst>
        </xdr:cNvPr>
        <xdr:cNvSpPr/>
      </xdr:nvSpPr>
      <xdr:spPr>
        <a:xfrm>
          <a:off x="1010210" y="22264407"/>
          <a:ext cx="3709148" cy="25325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42583</xdr:colOff>
      <xdr:row>98</xdr:row>
      <xdr:rowOff>83484</xdr:rowOff>
    </xdr:from>
    <xdr:to>
      <xdr:col>8</xdr:col>
      <xdr:colOff>292474</xdr:colOff>
      <xdr:row>98</xdr:row>
      <xdr:rowOff>86846</xdr:rowOff>
    </xdr:to>
    <xdr:cxnSp macro="">
      <xdr:nvCxnSpPr>
        <xdr:cNvPr id="13" name="Gerade Verbindung mit Pfeil 12">
          <a:extLst>
            <a:ext uri="{FF2B5EF4-FFF2-40B4-BE49-F238E27FC236}">
              <a16:creationId xmlns:a16="http://schemas.microsoft.com/office/drawing/2014/main" id="{00000000-0008-0000-1A00-00000D000000}"/>
            </a:ext>
          </a:extLst>
        </xdr:cNvPr>
        <xdr:cNvCxnSpPr/>
      </xdr:nvCxnSpPr>
      <xdr:spPr>
        <a:xfrm flipH="1" flipV="1">
          <a:off x="5319433" y="18523884"/>
          <a:ext cx="1088091" cy="336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8.xml"/><Relationship Id="rId1" Type="http://schemas.openxmlformats.org/officeDocument/2006/relationships/printerSettings" Target="../printerSettings/printerSettings24.bin"/><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9.xml"/><Relationship Id="rId1" Type="http://schemas.openxmlformats.org/officeDocument/2006/relationships/printerSettings" Target="../printerSettings/printerSettings25.bin"/><Relationship Id="rId4" Type="http://schemas.openxmlformats.org/officeDocument/2006/relationships/ctrlProp" Target="../ctrlProps/ctrlProp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2.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7"/>
  <dimension ref="B2:C68"/>
  <sheetViews>
    <sheetView showGridLines="0" topLeftCell="A43" workbookViewId="0">
      <selection activeCell="C68" sqref="C68"/>
    </sheetView>
  </sheetViews>
  <sheetFormatPr baseColWidth="10" defaultRowHeight="14.25" x14ac:dyDescent="0.2"/>
  <cols>
    <col min="2" max="2" width="12" customWidth="1"/>
  </cols>
  <sheetData>
    <row r="2" spans="2:3" ht="15" x14ac:dyDescent="0.25">
      <c r="B2" s="22" t="s">
        <v>422</v>
      </c>
    </row>
    <row r="4" spans="2:3" x14ac:dyDescent="0.2">
      <c r="B4" t="s">
        <v>423</v>
      </c>
      <c r="C4" t="s">
        <v>424</v>
      </c>
    </row>
    <row r="6" spans="2:3" x14ac:dyDescent="0.2">
      <c r="B6" s="175">
        <v>43745</v>
      </c>
      <c r="C6" t="s">
        <v>425</v>
      </c>
    </row>
    <row r="7" spans="2:3" x14ac:dyDescent="0.2">
      <c r="B7" s="175">
        <v>43747</v>
      </c>
      <c r="C7" t="s">
        <v>426</v>
      </c>
    </row>
    <row r="8" spans="2:3" x14ac:dyDescent="0.2">
      <c r="C8" t="s">
        <v>427</v>
      </c>
    </row>
    <row r="9" spans="2:3" x14ac:dyDescent="0.2">
      <c r="B9" s="175">
        <v>43773</v>
      </c>
      <c r="C9" t="s">
        <v>429</v>
      </c>
    </row>
    <row r="10" spans="2:3" x14ac:dyDescent="0.2">
      <c r="C10" t="s">
        <v>435</v>
      </c>
    </row>
    <row r="11" spans="2:3" x14ac:dyDescent="0.2">
      <c r="C11" t="s">
        <v>430</v>
      </c>
    </row>
    <row r="12" spans="2:3" x14ac:dyDescent="0.2">
      <c r="C12" t="s">
        <v>436</v>
      </c>
    </row>
    <row r="13" spans="2:3" x14ac:dyDescent="0.2">
      <c r="C13" t="s">
        <v>437</v>
      </c>
    </row>
    <row r="14" spans="2:3" x14ac:dyDescent="0.2">
      <c r="B14" s="175">
        <v>43777</v>
      </c>
      <c r="C14" t="s">
        <v>438</v>
      </c>
    </row>
    <row r="15" spans="2:3" x14ac:dyDescent="0.2">
      <c r="B15" s="175">
        <v>43788</v>
      </c>
      <c r="C15" t="s">
        <v>439</v>
      </c>
    </row>
    <row r="16" spans="2:3" x14ac:dyDescent="0.2">
      <c r="C16" t="s">
        <v>440</v>
      </c>
    </row>
    <row r="17" spans="2:3" x14ac:dyDescent="0.2">
      <c r="B17" s="175">
        <v>43809</v>
      </c>
      <c r="C17" s="205" t="s">
        <v>455</v>
      </c>
    </row>
    <row r="18" spans="2:3" x14ac:dyDescent="0.2">
      <c r="B18" s="175">
        <v>43822</v>
      </c>
      <c r="C18" s="205" t="s">
        <v>453</v>
      </c>
    </row>
    <row r="19" spans="2:3" x14ac:dyDescent="0.2">
      <c r="B19" s="207"/>
      <c r="C19" s="205" t="s">
        <v>454</v>
      </c>
    </row>
    <row r="20" spans="2:3" x14ac:dyDescent="0.2">
      <c r="B20" s="175">
        <v>43844</v>
      </c>
      <c r="C20" s="205" t="s">
        <v>456</v>
      </c>
    </row>
    <row r="21" spans="2:3" x14ac:dyDescent="0.2">
      <c r="B21" s="175">
        <v>43889</v>
      </c>
      <c r="C21" s="205" t="s">
        <v>457</v>
      </c>
    </row>
    <row r="22" spans="2:3" x14ac:dyDescent="0.2">
      <c r="B22" s="207"/>
      <c r="C22" s="205" t="s">
        <v>459</v>
      </c>
    </row>
    <row r="23" spans="2:3" x14ac:dyDescent="0.2">
      <c r="B23" s="207"/>
      <c r="C23" s="205" t="s">
        <v>460</v>
      </c>
    </row>
    <row r="24" spans="2:3" x14ac:dyDescent="0.2">
      <c r="B24" s="207"/>
      <c r="C24" s="205" t="s">
        <v>479</v>
      </c>
    </row>
    <row r="25" spans="2:3" x14ac:dyDescent="0.2">
      <c r="B25" s="175">
        <v>43978</v>
      </c>
      <c r="C25" s="205" t="s">
        <v>482</v>
      </c>
    </row>
    <row r="26" spans="2:3" x14ac:dyDescent="0.2">
      <c r="B26" s="175">
        <v>44161</v>
      </c>
      <c r="C26" s="205" t="s">
        <v>491</v>
      </c>
    </row>
    <row r="27" spans="2:3" x14ac:dyDescent="0.2">
      <c r="B27" s="207"/>
      <c r="C27" s="205" t="s">
        <v>492</v>
      </c>
    </row>
    <row r="28" spans="2:3" x14ac:dyDescent="0.2">
      <c r="B28" s="207"/>
      <c r="C28" s="205" t="s">
        <v>493</v>
      </c>
    </row>
    <row r="29" spans="2:3" x14ac:dyDescent="0.2">
      <c r="B29" s="207"/>
      <c r="C29" s="205" t="s">
        <v>494</v>
      </c>
    </row>
    <row r="30" spans="2:3" x14ac:dyDescent="0.2">
      <c r="B30" s="207"/>
      <c r="C30" s="205" t="s">
        <v>507</v>
      </c>
    </row>
    <row r="31" spans="2:3" x14ac:dyDescent="0.2">
      <c r="C31" s="205" t="s">
        <v>498</v>
      </c>
    </row>
    <row r="32" spans="2:3" x14ac:dyDescent="0.2">
      <c r="C32" s="205" t="s">
        <v>499</v>
      </c>
    </row>
    <row r="33" spans="2:3" x14ac:dyDescent="0.2">
      <c r="C33" s="205" t="s">
        <v>508</v>
      </c>
    </row>
    <row r="34" spans="2:3" x14ac:dyDescent="0.2">
      <c r="B34" s="175">
        <v>44285</v>
      </c>
      <c r="C34" s="205" t="s">
        <v>509</v>
      </c>
    </row>
    <row r="35" spans="2:3" x14ac:dyDescent="0.2">
      <c r="C35" s="205" t="s">
        <v>510</v>
      </c>
    </row>
    <row r="36" spans="2:3" x14ac:dyDescent="0.2">
      <c r="C36" s="205" t="s">
        <v>575</v>
      </c>
    </row>
    <row r="37" spans="2:3" x14ac:dyDescent="0.2">
      <c r="C37" s="205" t="s">
        <v>511</v>
      </c>
    </row>
    <row r="38" spans="2:3" x14ac:dyDescent="0.2">
      <c r="C38" s="205" t="s">
        <v>513</v>
      </c>
    </row>
    <row r="39" spans="2:3" x14ac:dyDescent="0.2">
      <c r="C39" s="205" t="s">
        <v>514</v>
      </c>
    </row>
    <row r="40" spans="2:3" x14ac:dyDescent="0.2">
      <c r="C40" s="205" t="s">
        <v>519</v>
      </c>
    </row>
    <row r="41" spans="2:3" x14ac:dyDescent="0.2">
      <c r="C41" s="205" t="s">
        <v>520</v>
      </c>
    </row>
    <row r="42" spans="2:3" x14ac:dyDescent="0.2">
      <c r="B42" s="175"/>
      <c r="C42" s="205" t="s">
        <v>522</v>
      </c>
    </row>
    <row r="43" spans="2:3" x14ac:dyDescent="0.2">
      <c r="C43" s="205" t="s">
        <v>576</v>
      </c>
    </row>
    <row r="44" spans="2:3" x14ac:dyDescent="0.2">
      <c r="C44" s="205" t="s">
        <v>568</v>
      </c>
    </row>
    <row r="45" spans="2:3" x14ac:dyDescent="0.2">
      <c r="C45" s="205" t="s">
        <v>567</v>
      </c>
    </row>
    <row r="46" spans="2:3" x14ac:dyDescent="0.2">
      <c r="C46" s="205" t="s">
        <v>569</v>
      </c>
    </row>
    <row r="47" spans="2:3" x14ac:dyDescent="0.2">
      <c r="C47" s="205" t="s">
        <v>570</v>
      </c>
    </row>
    <row r="48" spans="2:3" x14ac:dyDescent="0.2">
      <c r="C48" s="205" t="s">
        <v>571</v>
      </c>
    </row>
    <row r="49" spans="2:3" x14ac:dyDescent="0.2">
      <c r="C49" s="205" t="s">
        <v>572</v>
      </c>
    </row>
    <row r="50" spans="2:3" x14ac:dyDescent="0.2">
      <c r="C50" s="205" t="s">
        <v>573</v>
      </c>
    </row>
    <row r="51" spans="2:3" x14ac:dyDescent="0.2">
      <c r="B51" s="643">
        <v>44286</v>
      </c>
      <c r="C51" s="205" t="s">
        <v>577</v>
      </c>
    </row>
    <row r="52" spans="2:3" x14ac:dyDescent="0.2">
      <c r="C52" s="205" t="s">
        <v>578</v>
      </c>
    </row>
    <row r="53" spans="2:3" x14ac:dyDescent="0.2">
      <c r="B53" s="643">
        <v>44299</v>
      </c>
      <c r="C53" s="205" t="s">
        <v>579</v>
      </c>
    </row>
    <row r="54" spans="2:3" x14ac:dyDescent="0.2">
      <c r="C54" s="205" t="s">
        <v>580</v>
      </c>
    </row>
    <row r="55" spans="2:3" x14ac:dyDescent="0.2">
      <c r="C55" s="205" t="s">
        <v>582</v>
      </c>
    </row>
    <row r="56" spans="2:3" x14ac:dyDescent="0.2">
      <c r="C56" s="205" t="s">
        <v>583</v>
      </c>
    </row>
    <row r="57" spans="2:3" x14ac:dyDescent="0.2">
      <c r="C57" s="205" t="s">
        <v>584</v>
      </c>
    </row>
    <row r="58" spans="2:3" x14ac:dyDescent="0.2">
      <c r="C58" s="205" t="s">
        <v>585</v>
      </c>
    </row>
    <row r="59" spans="2:3" x14ac:dyDescent="0.2">
      <c r="B59" s="643">
        <v>44556</v>
      </c>
      <c r="C59" s="205" t="s">
        <v>586</v>
      </c>
    </row>
    <row r="60" spans="2:3" x14ac:dyDescent="0.2">
      <c r="B60" s="643">
        <v>44585</v>
      </c>
      <c r="C60" s="205" t="s">
        <v>587</v>
      </c>
    </row>
    <row r="61" spans="2:3" x14ac:dyDescent="0.2">
      <c r="C61" s="205" t="s">
        <v>588</v>
      </c>
    </row>
    <row r="62" spans="2:3" x14ac:dyDescent="0.2">
      <c r="B62" s="643">
        <v>44595</v>
      </c>
      <c r="C62" s="205" t="s">
        <v>589</v>
      </c>
    </row>
    <row r="63" spans="2:3" x14ac:dyDescent="0.2">
      <c r="B63" s="643">
        <v>44638</v>
      </c>
      <c r="C63" s="205" t="s">
        <v>591</v>
      </c>
    </row>
    <row r="64" spans="2:3" x14ac:dyDescent="0.2">
      <c r="B64" s="643">
        <v>44725</v>
      </c>
      <c r="C64" s="205" t="s">
        <v>593</v>
      </c>
    </row>
    <row r="65" spans="2:3" x14ac:dyDescent="0.2">
      <c r="B65" s="643">
        <v>44819</v>
      </c>
      <c r="C65" s="205" t="s">
        <v>595</v>
      </c>
    </row>
    <row r="66" spans="2:3" x14ac:dyDescent="0.2">
      <c r="B66" s="643">
        <v>45105</v>
      </c>
      <c r="C66" s="205" t="s">
        <v>598</v>
      </c>
    </row>
    <row r="67" spans="2:3" x14ac:dyDescent="0.2">
      <c r="B67" s="643">
        <v>45273</v>
      </c>
      <c r="C67" s="205" t="s">
        <v>620</v>
      </c>
    </row>
    <row r="68" spans="2:3" x14ac:dyDescent="0.2">
      <c r="B68" s="643">
        <v>45646</v>
      </c>
      <c r="C68" s="205" t="s">
        <v>619</v>
      </c>
    </row>
  </sheetData>
  <sheetProtection algorithmName="SHA-512" hashValue="E8IElOgTRxGOvivOdoBYNwUqjQTqju4ChT+ofyZZVOnbwONccl0oLhEMg+Z5Kk30znvhSzN5goRgZKNNblStXw==" saltValue="4n01QYAWFiA/oOgAyX4nvw==" spinCount="100000" sheet="1" objects="1" scenario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K41"/>
  <sheetViews>
    <sheetView showGridLines="0" tabSelected="1" showRuler="0" zoomScaleNormal="100" workbookViewId="0">
      <selection activeCell="D2" sqref="D2"/>
    </sheetView>
  </sheetViews>
  <sheetFormatPr baseColWidth="10" defaultRowHeight="14.25" x14ac:dyDescent="0.2"/>
  <cols>
    <col min="1" max="16384" width="11" style="127"/>
  </cols>
  <sheetData>
    <row r="1" spans="1:11" x14ac:dyDescent="0.2">
      <c r="A1" s="659"/>
      <c r="B1" s="659"/>
      <c r="C1" s="659"/>
      <c r="D1" s="812"/>
      <c r="E1" s="812"/>
      <c r="F1" s="746"/>
      <c r="G1" s="813" t="s">
        <v>0</v>
      </c>
      <c r="H1" s="813"/>
      <c r="I1" s="811"/>
      <c r="J1" s="811"/>
      <c r="K1" s="659"/>
    </row>
    <row r="2" spans="1:11" ht="15" x14ac:dyDescent="0.25">
      <c r="A2" s="814" t="s">
        <v>1</v>
      </c>
      <c r="B2" s="814"/>
      <c r="C2" s="814"/>
      <c r="D2" s="747"/>
      <c r="E2" s="758">
        <v>43800</v>
      </c>
      <c r="F2" s="434">
        <v>44166</v>
      </c>
      <c r="G2" s="434">
        <v>44531</v>
      </c>
      <c r="J2" s="659"/>
      <c r="K2" s="659"/>
    </row>
    <row r="3" spans="1:11" x14ac:dyDescent="0.2">
      <c r="A3" s="240"/>
      <c r="B3" s="240"/>
      <c r="C3" s="240"/>
      <c r="D3" s="240"/>
      <c r="E3" s="179">
        <v>45108</v>
      </c>
      <c r="F3" s="768">
        <v>44742</v>
      </c>
      <c r="G3" s="81" t="str">
        <f>IF(D2&gt;F3,"ja","nein")</f>
        <v>nein</v>
      </c>
      <c r="I3" s="605"/>
      <c r="J3" s="659"/>
      <c r="K3" s="659"/>
    </row>
    <row r="4" spans="1:11" x14ac:dyDescent="0.2">
      <c r="A4" s="240"/>
      <c r="B4" s="240"/>
      <c r="C4" s="240"/>
      <c r="D4" s="809" t="str">
        <f>IF(D2=ISBLANK(0),"Bitte den Monat der Antragstellung eingeben!",IF(D2&lt;E3,"Achtung! Für Anträge vor Juli 2023 nutzten Sie bitte eine andere Berechnungshilfe!"," "))</f>
        <v>Bitte den Monat der Antragstellung eingeben!</v>
      </c>
      <c r="E4" s="809"/>
      <c r="F4" s="809"/>
      <c r="G4" s="809"/>
      <c r="H4" s="809"/>
      <c r="I4" s="659"/>
      <c r="J4" s="659"/>
      <c r="K4" s="659"/>
    </row>
    <row r="5" spans="1:11" x14ac:dyDescent="0.2">
      <c r="A5" s="240"/>
      <c r="B5" s="240"/>
      <c r="C5" s="240"/>
      <c r="D5" s="809"/>
      <c r="E5" s="809"/>
      <c r="F5" s="809"/>
      <c r="G5" s="809"/>
      <c r="H5" s="809"/>
      <c r="I5" s="659"/>
      <c r="J5" s="659"/>
      <c r="K5" s="659"/>
    </row>
    <row r="6" spans="1:11" x14ac:dyDescent="0.2">
      <c r="A6" s="659"/>
      <c r="B6" s="659"/>
      <c r="C6" s="659"/>
      <c r="D6" s="809"/>
      <c r="E6" s="809"/>
      <c r="F6" s="809"/>
      <c r="G6" s="809"/>
      <c r="H6" s="809"/>
      <c r="I6" s="659"/>
      <c r="J6" s="659"/>
      <c r="K6" s="659"/>
    </row>
    <row r="7" spans="1:11" x14ac:dyDescent="0.2">
      <c r="A7" s="659"/>
      <c r="B7" s="659"/>
      <c r="C7" s="659"/>
      <c r="D7" s="809"/>
      <c r="E7" s="809"/>
      <c r="F7" s="809"/>
      <c r="G7" s="809"/>
      <c r="H7" s="809"/>
      <c r="I7" s="659"/>
      <c r="J7" s="659"/>
      <c r="K7" s="659"/>
    </row>
    <row r="8" spans="1:11" x14ac:dyDescent="0.2">
      <c r="A8" s="659" t="s">
        <v>2</v>
      </c>
      <c r="B8" s="659"/>
      <c r="C8" s="659"/>
      <c r="D8" s="815" t="s">
        <v>521</v>
      </c>
      <c r="E8" s="816"/>
      <c r="F8" s="817"/>
      <c r="G8" s="659"/>
      <c r="H8" s="659"/>
      <c r="I8" s="659"/>
      <c r="J8" s="659"/>
      <c r="K8" s="659"/>
    </row>
    <row r="9" spans="1:11" x14ac:dyDescent="0.2">
      <c r="A9" s="659"/>
      <c r="B9" s="659"/>
      <c r="C9" s="659"/>
      <c r="D9" s="659"/>
      <c r="E9" s="659"/>
      <c r="F9" s="659"/>
      <c r="G9" s="659"/>
      <c r="H9" s="659"/>
      <c r="I9" s="819" t="str">
        <f>IF(AND(D8="alleinerziehend",ISBLANK(C20)=FALSE),"Bitte den Familienstand prüfen. Antragsteller ist alleinerziehend, aber mit Partner."," ")</f>
        <v xml:space="preserve"> </v>
      </c>
      <c r="J9" s="819"/>
      <c r="K9" s="659"/>
    </row>
    <row r="10" spans="1:11" x14ac:dyDescent="0.2">
      <c r="A10" s="659"/>
      <c r="B10" s="748" t="s">
        <v>3</v>
      </c>
      <c r="C10" s="748" t="s">
        <v>4</v>
      </c>
      <c r="D10" s="748" t="s">
        <v>5</v>
      </c>
      <c r="E10" s="748"/>
      <c r="F10" s="748"/>
      <c r="G10" s="748"/>
      <c r="H10" s="659"/>
      <c r="I10" s="819"/>
      <c r="J10" s="819"/>
      <c r="K10" s="659"/>
    </row>
    <row r="11" spans="1:11" x14ac:dyDescent="0.2">
      <c r="A11" s="659"/>
      <c r="B11" s="748"/>
      <c r="C11" s="748" t="s">
        <v>6</v>
      </c>
      <c r="D11" s="748" t="s">
        <v>7</v>
      </c>
      <c r="E11" s="748"/>
      <c r="F11" s="748"/>
      <c r="G11" s="748"/>
      <c r="H11" s="659"/>
      <c r="I11" s="819"/>
      <c r="J11" s="819"/>
      <c r="K11" s="659"/>
    </row>
    <row r="12" spans="1:11" x14ac:dyDescent="0.2">
      <c r="A12" s="659"/>
      <c r="B12" s="748"/>
      <c r="C12" s="748"/>
      <c r="D12" s="748" t="s">
        <v>8</v>
      </c>
      <c r="E12" s="748"/>
      <c r="F12" s="748"/>
      <c r="G12" s="748"/>
      <c r="H12" s="659"/>
      <c r="I12" s="819"/>
      <c r="J12" s="819"/>
      <c r="K12" s="659"/>
    </row>
    <row r="13" spans="1:11" x14ac:dyDescent="0.2">
      <c r="A13" s="659"/>
      <c r="B13" s="659"/>
      <c r="C13" s="659"/>
      <c r="D13" s="659"/>
      <c r="E13" s="659"/>
      <c r="F13" s="659"/>
      <c r="G13" s="659"/>
      <c r="H13" s="659"/>
      <c r="I13" s="819"/>
      <c r="J13" s="819"/>
      <c r="K13" s="659"/>
    </row>
    <row r="14" spans="1:11" x14ac:dyDescent="0.2">
      <c r="A14" s="659"/>
      <c r="B14" s="659"/>
      <c r="C14" s="659"/>
      <c r="D14" s="659"/>
      <c r="E14" s="659"/>
      <c r="F14" s="659"/>
      <c r="G14" s="659"/>
      <c r="H14" s="659"/>
      <c r="I14" s="659"/>
      <c r="J14" s="659"/>
      <c r="K14" s="659"/>
    </row>
    <row r="15" spans="1:11" ht="15" x14ac:dyDescent="0.25">
      <c r="A15" s="818" t="s">
        <v>9</v>
      </c>
      <c r="B15" s="818"/>
      <c r="C15" s="659"/>
      <c r="D15" s="659"/>
      <c r="E15" s="659"/>
      <c r="F15" s="659"/>
      <c r="G15" s="659"/>
      <c r="H15" s="659"/>
      <c r="I15" s="659"/>
      <c r="J15" s="659"/>
      <c r="K15" s="659"/>
    </row>
    <row r="16" spans="1:11" x14ac:dyDescent="0.2">
      <c r="A16" s="659"/>
      <c r="B16" s="659"/>
      <c r="C16" s="659"/>
      <c r="D16" s="659"/>
      <c r="E16" s="659"/>
      <c r="F16" s="659"/>
      <c r="G16" s="659"/>
      <c r="H16" s="659"/>
      <c r="I16" s="659"/>
      <c r="J16" s="659"/>
      <c r="K16" s="659"/>
    </row>
    <row r="17" spans="1:11" x14ac:dyDescent="0.2">
      <c r="A17" s="659"/>
      <c r="B17" s="659"/>
      <c r="C17" s="241"/>
      <c r="D17" s="242"/>
      <c r="E17" s="749" t="s">
        <v>232</v>
      </c>
      <c r="F17" s="750" t="s">
        <v>273</v>
      </c>
      <c r="G17" s="823" t="s">
        <v>367</v>
      </c>
      <c r="H17" s="824"/>
      <c r="I17" s="825"/>
      <c r="J17" s="659"/>
      <c r="K17" s="659"/>
    </row>
    <row r="18" spans="1:11" x14ac:dyDescent="0.2">
      <c r="A18" s="659"/>
      <c r="B18" s="659"/>
      <c r="C18" s="729" t="s">
        <v>10</v>
      </c>
      <c r="D18" s="751" t="s">
        <v>11</v>
      </c>
      <c r="E18" s="752" t="s">
        <v>233</v>
      </c>
      <c r="F18" s="751" t="s">
        <v>274</v>
      </c>
      <c r="G18" s="826" t="s">
        <v>357</v>
      </c>
      <c r="H18" s="827"/>
      <c r="I18" s="828"/>
      <c r="J18" s="659"/>
      <c r="K18" s="659"/>
    </row>
    <row r="19" spans="1:11" x14ac:dyDescent="0.2">
      <c r="A19" s="810" t="s">
        <v>12</v>
      </c>
      <c r="B19" s="810"/>
      <c r="C19" s="753"/>
      <c r="D19" s="754">
        <f>IF(C19=ISBLANK(0),0,DATEDIF(BG!C19,BG!D2,"y"))</f>
        <v>0</v>
      </c>
      <c r="E19" s="755"/>
      <c r="F19" s="756" t="s">
        <v>185</v>
      </c>
      <c r="G19" s="820" t="s">
        <v>185</v>
      </c>
      <c r="H19" s="821"/>
      <c r="I19" s="822"/>
      <c r="J19" s="84" t="str">
        <f>IF(G19=".","nein","ja")</f>
        <v>nein</v>
      </c>
      <c r="K19" s="659"/>
    </row>
    <row r="20" spans="1:11" x14ac:dyDescent="0.2">
      <c r="A20" s="810" t="str">
        <f>IF(D8="bitte auswählen"," ",IF(D8="alleinerziehend"," ",IF(D8="mit Partner","Partner/Partnerin","Ehegatte/Ehegattin")))</f>
        <v xml:space="preserve"> </v>
      </c>
      <c r="B20" s="810"/>
      <c r="C20" s="753"/>
      <c r="D20" s="754">
        <f>IF(BG!C20=ISBLANK(0),0,DATEDIF(BG!C20,BG!D2,"y"))</f>
        <v>0</v>
      </c>
      <c r="E20" s="755"/>
      <c r="F20" s="756" t="s">
        <v>185</v>
      </c>
      <c r="G20" s="820" t="s">
        <v>185</v>
      </c>
      <c r="H20" s="821"/>
      <c r="I20" s="822"/>
      <c r="J20" s="84" t="str">
        <f>IF(G20=".","nein","ja")</f>
        <v>nein</v>
      </c>
      <c r="K20" s="659"/>
    </row>
    <row r="21" spans="1:11" x14ac:dyDescent="0.2">
      <c r="A21" s="810" t="s">
        <v>13</v>
      </c>
      <c r="B21" s="810"/>
      <c r="C21" s="753"/>
      <c r="D21" s="730">
        <f>IF(Datenblatt!E75=0,0,DATEDIF(BG!C21,BG!D2,"y"))</f>
        <v>0</v>
      </c>
      <c r="E21" s="244" t="s">
        <v>185</v>
      </c>
      <c r="F21" s="756" t="s">
        <v>185</v>
      </c>
      <c r="G21" s="759" t="str">
        <f>IF(Datenblatt!H21="ja","ja",IF(Datenblatt!H22="ja","ja",IF(Datenblatt!H23="ja","ja","nein")))</f>
        <v>nein</v>
      </c>
      <c r="H21" s="757" t="str">
        <f>IF(AND(G19=".",F19="Student"),"Bitte Angabe zum BAföG-Bezug machen.",IF(AND(F19=".",J19="ja"),"Bitte geben Sie noch den Leistungsausschluss an."," "))</f>
        <v xml:space="preserve"> </v>
      </c>
      <c r="I21" s="659"/>
      <c r="J21" s="659"/>
      <c r="K21" s="659"/>
    </row>
    <row r="22" spans="1:11" x14ac:dyDescent="0.2">
      <c r="A22" s="810" t="s">
        <v>14</v>
      </c>
      <c r="B22" s="810"/>
      <c r="C22" s="753"/>
      <c r="D22" s="730">
        <f>IF(Datenblatt!F75=0,0,DATEDIF(BG!C22,BG!D2,"y"))</f>
        <v>0</v>
      </c>
      <c r="E22" s="244" t="s">
        <v>185</v>
      </c>
      <c r="F22" s="756" t="s">
        <v>185</v>
      </c>
      <c r="G22" s="759" t="e">
        <f>IF(Datenblatt!I21="ja","ja",IF(Datenblatt!I22="ja","ja",IF(Datenblatt!I23="ja","ja","nein")))</f>
        <v>#VALUE!</v>
      </c>
      <c r="H22" s="757" t="str">
        <f>IF(AND(G20=".",F20="Student"),"Bitte Angabe zum BAföG-Bezug machen.",IF(AND(F20=".",J20="ja"),"Bitte geben Sie noch den Leistungsausschluss an."," "))</f>
        <v xml:space="preserve"> </v>
      </c>
      <c r="I22" s="659"/>
      <c r="J22" s="659"/>
      <c r="K22" s="659"/>
    </row>
    <row r="23" spans="1:11" x14ac:dyDescent="0.2">
      <c r="A23" s="810" t="s">
        <v>15</v>
      </c>
      <c r="B23" s="810"/>
      <c r="C23" s="753"/>
      <c r="D23" s="730">
        <f>IF(Datenblatt!G75=0,0,DATEDIF(BG!C23,BG!D2,"y"))</f>
        <v>0</v>
      </c>
      <c r="E23" s="244" t="s">
        <v>185</v>
      </c>
      <c r="F23" s="756" t="s">
        <v>185</v>
      </c>
      <c r="G23" s="759" t="e">
        <f>IF(Datenblatt!J21="ja","ja",IF(Datenblatt!J22="ja","ja",IF(Datenblatt!J23="ja","ja","nein")))</f>
        <v>#VALUE!</v>
      </c>
      <c r="H23" s="819" t="str">
        <f>IF(AND(D8="alleinerziehend",F19="Student")," ",IF(COUNTIF(Datenblatt!F8:U9,"ja")&gt;0," ","Aufgrund der Zusammensetzung der Bedarfsgemeinschaft besteht kein Anspruch auf Kinderzuschlag!"))</f>
        <v xml:space="preserve"> </v>
      </c>
      <c r="I23" s="819"/>
      <c r="J23" s="659"/>
      <c r="K23" s="659"/>
    </row>
    <row r="24" spans="1:11" x14ac:dyDescent="0.2">
      <c r="A24" s="810" t="s">
        <v>16</v>
      </c>
      <c r="B24" s="810"/>
      <c r="C24" s="753"/>
      <c r="D24" s="730">
        <f>IF(Datenblatt!H75=0,0,DATEDIF(BG!C24,BG!D2,"y"))</f>
        <v>0</v>
      </c>
      <c r="E24" s="244" t="s">
        <v>185</v>
      </c>
      <c r="F24" s="756" t="s">
        <v>185</v>
      </c>
      <c r="G24" s="759" t="e">
        <f>IF(Datenblatt!K21="ja","ja",IF(Datenblatt!K22="ja","ja",IF(Datenblatt!K23="ja","ja","nein")))</f>
        <v>#VALUE!</v>
      </c>
      <c r="H24" s="819"/>
      <c r="I24" s="819"/>
      <c r="J24" s="659"/>
      <c r="K24" s="659"/>
    </row>
    <row r="25" spans="1:11" x14ac:dyDescent="0.2">
      <c r="A25" s="810" t="s">
        <v>17</v>
      </c>
      <c r="B25" s="810"/>
      <c r="C25" s="753"/>
      <c r="D25" s="730">
        <f>IF(Datenblatt!I75=0,0,DATEDIF(BG!C25,BG!D2,"y"))</f>
        <v>0</v>
      </c>
      <c r="E25" s="244" t="s">
        <v>185</v>
      </c>
      <c r="F25" s="756" t="s">
        <v>185</v>
      </c>
      <c r="G25" s="759" t="e">
        <f>IF(Datenblatt!L21="ja","ja",IF(Datenblatt!L22="ja","ja",IF(Datenblatt!L23="ja","ja","nein")))</f>
        <v>#VALUE!</v>
      </c>
      <c r="H25" s="819"/>
      <c r="I25" s="819"/>
      <c r="J25" s="659"/>
      <c r="K25" s="659"/>
    </row>
    <row r="26" spans="1:11" x14ac:dyDescent="0.2">
      <c r="A26" s="810" t="s">
        <v>18</v>
      </c>
      <c r="B26" s="810"/>
      <c r="C26" s="753"/>
      <c r="D26" s="730">
        <f>IF(Datenblatt!J75=0,0,DATEDIF(BG!C26,BG!D2,"y"))</f>
        <v>0</v>
      </c>
      <c r="E26" s="244" t="s">
        <v>185</v>
      </c>
      <c r="F26" s="756" t="s">
        <v>185</v>
      </c>
      <c r="G26" s="759" t="e">
        <f>IF(Datenblatt!M21="ja","ja",IF(Datenblatt!M22="ja","ja",IF(Datenblatt!M23="ja","ja","nein")))</f>
        <v>#VALUE!</v>
      </c>
      <c r="H26" s="819"/>
      <c r="I26" s="819"/>
      <c r="J26" s="659"/>
      <c r="K26" s="659"/>
    </row>
    <row r="27" spans="1:11" x14ac:dyDescent="0.2">
      <c r="A27" s="810" t="s">
        <v>340</v>
      </c>
      <c r="B27" s="810"/>
      <c r="C27" s="753"/>
      <c r="D27" s="730">
        <f>IF(Datenblatt!K75=0,0,DATEDIF(BG!C27,BG!D2,"y"))</f>
        <v>0</v>
      </c>
      <c r="E27" s="244" t="s">
        <v>185</v>
      </c>
      <c r="F27" s="756" t="s">
        <v>185</v>
      </c>
      <c r="G27" s="731"/>
      <c r="H27" s="819"/>
      <c r="I27" s="819"/>
      <c r="J27" s="659"/>
      <c r="K27" s="659"/>
    </row>
    <row r="28" spans="1:11" x14ac:dyDescent="0.2">
      <c r="A28" s="810" t="s">
        <v>341</v>
      </c>
      <c r="B28" s="810"/>
      <c r="C28" s="753"/>
      <c r="D28" s="730">
        <f>IF(Datenblatt!L75=0,0,DATEDIF(BG!C28,BG!D2,"y"))</f>
        <v>0</v>
      </c>
      <c r="E28" s="244" t="s">
        <v>185</v>
      </c>
      <c r="F28" s="756" t="s">
        <v>185</v>
      </c>
      <c r="G28" s="731"/>
      <c r="H28" s="819"/>
      <c r="I28" s="819"/>
      <c r="J28" s="659"/>
      <c r="K28" s="659"/>
    </row>
    <row r="29" spans="1:11" x14ac:dyDescent="0.2">
      <c r="A29" s="810" t="s">
        <v>342</v>
      </c>
      <c r="B29" s="810"/>
      <c r="C29" s="753"/>
      <c r="D29" s="730">
        <f>IF(Datenblatt!M75=0,0,DATEDIF(BG!C29,BG!D2,"y"))</f>
        <v>0</v>
      </c>
      <c r="E29" s="244" t="s">
        <v>185</v>
      </c>
      <c r="F29" s="756" t="s">
        <v>185</v>
      </c>
      <c r="G29" s="731"/>
      <c r="H29" s="819"/>
      <c r="I29" s="819"/>
      <c r="J29" s="659"/>
      <c r="K29" s="659"/>
    </row>
    <row r="30" spans="1:11" x14ac:dyDescent="0.2">
      <c r="A30" s="810" t="s">
        <v>343</v>
      </c>
      <c r="B30" s="810"/>
      <c r="C30" s="753"/>
      <c r="D30" s="730">
        <f>IF(Datenblatt!N75=0,0,DATEDIF(BG!C30,BG!D2,"y"))</f>
        <v>0</v>
      </c>
      <c r="E30" s="244" t="s">
        <v>185</v>
      </c>
      <c r="F30" s="756" t="s">
        <v>185</v>
      </c>
      <c r="G30" s="659"/>
      <c r="H30" s="819"/>
      <c r="I30" s="819"/>
      <c r="J30" s="659"/>
      <c r="K30" s="659"/>
    </row>
    <row r="31" spans="1:11" x14ac:dyDescent="0.2">
      <c r="A31" s="810" t="s">
        <v>344</v>
      </c>
      <c r="B31" s="810"/>
      <c r="C31" s="753"/>
      <c r="D31" s="730">
        <f>IF(Datenblatt!O75=0,0,DATEDIF(BG!C31,BG!D2,"y"))</f>
        <v>0</v>
      </c>
      <c r="E31" s="244" t="s">
        <v>185</v>
      </c>
      <c r="F31" s="756" t="s">
        <v>185</v>
      </c>
      <c r="G31" s="659"/>
      <c r="H31" s="819"/>
      <c r="I31" s="819"/>
      <c r="J31" s="659"/>
      <c r="K31" s="659"/>
    </row>
    <row r="32" spans="1:11" x14ac:dyDescent="0.2">
      <c r="A32" s="810" t="s">
        <v>345</v>
      </c>
      <c r="B32" s="810"/>
      <c r="C32" s="753"/>
      <c r="D32" s="730">
        <f>IF(Datenblatt!P75=0,0,DATEDIF(BG!C32,BG!D2,"y"))</f>
        <v>0</v>
      </c>
      <c r="E32" s="244" t="s">
        <v>185</v>
      </c>
      <c r="F32" s="756" t="s">
        <v>185</v>
      </c>
      <c r="G32" s="659"/>
      <c r="H32" s="659"/>
      <c r="I32" s="659"/>
      <c r="J32" s="659"/>
      <c r="K32" s="659"/>
    </row>
    <row r="33" spans="1:11" x14ac:dyDescent="0.2">
      <c r="A33" s="810" t="s">
        <v>378</v>
      </c>
      <c r="B33" s="810"/>
      <c r="C33" s="753"/>
      <c r="D33" s="730">
        <f>IF(Datenblatt!Q75=0,0,DATEDIF(BG!C33,BG!D2,"y"))</f>
        <v>0</v>
      </c>
      <c r="E33" s="244" t="s">
        <v>185</v>
      </c>
      <c r="F33" s="756" t="s">
        <v>185</v>
      </c>
      <c r="G33" s="659"/>
      <c r="H33" s="659"/>
      <c r="I33" s="659"/>
      <c r="J33" s="659"/>
      <c r="K33" s="659"/>
    </row>
    <row r="34" spans="1:11" x14ac:dyDescent="0.2">
      <c r="A34" s="810" t="s">
        <v>379</v>
      </c>
      <c r="B34" s="810"/>
      <c r="C34" s="753"/>
      <c r="D34" s="730">
        <f>IF(Datenblatt!R75=0,0,DATEDIF(BG!C34,BG!D2,"y"))</f>
        <v>0</v>
      </c>
      <c r="E34" s="244" t="s">
        <v>185</v>
      </c>
      <c r="F34" s="756" t="s">
        <v>185</v>
      </c>
      <c r="G34" s="659"/>
      <c r="H34" s="659"/>
      <c r="I34" s="659"/>
      <c r="J34" s="659"/>
      <c r="K34" s="659"/>
    </row>
    <row r="35" spans="1:11" x14ac:dyDescent="0.2">
      <c r="A35" s="810" t="s">
        <v>380</v>
      </c>
      <c r="B35" s="810"/>
      <c r="C35" s="753"/>
      <c r="D35" s="730">
        <f>IF(Datenblatt!S75=0,0,DATEDIF(BG!C35,BG!D2,"y"))</f>
        <v>0</v>
      </c>
      <c r="E35" s="244" t="s">
        <v>185</v>
      </c>
      <c r="F35" s="756" t="s">
        <v>185</v>
      </c>
      <c r="G35" s="659"/>
      <c r="H35" s="659"/>
      <c r="I35" s="659"/>
      <c r="J35" s="659"/>
      <c r="K35" s="659"/>
    </row>
    <row r="36" spans="1:11" x14ac:dyDescent="0.2">
      <c r="A36" s="748" t="s">
        <v>275</v>
      </c>
      <c r="B36" s="659"/>
      <c r="C36" s="659"/>
      <c r="D36" s="659"/>
      <c r="E36" s="659"/>
      <c r="F36" s="659"/>
      <c r="G36" s="659"/>
      <c r="H36" s="659"/>
      <c r="I36" s="659"/>
      <c r="J36" s="659"/>
      <c r="K36" s="659"/>
    </row>
    <row r="37" spans="1:11" x14ac:dyDescent="0.2">
      <c r="A37" s="748" t="s">
        <v>276</v>
      </c>
      <c r="B37" s="659"/>
      <c r="C37" s="659"/>
      <c r="D37" s="659"/>
      <c r="E37" s="659"/>
      <c r="F37" s="659"/>
      <c r="G37" s="659"/>
      <c r="H37" s="659"/>
      <c r="I37" s="659"/>
      <c r="J37" s="659"/>
      <c r="K37" s="659"/>
    </row>
    <row r="38" spans="1:11" x14ac:dyDescent="0.2">
      <c r="A38" s="659"/>
      <c r="B38" s="659"/>
      <c r="C38" s="659"/>
      <c r="D38" s="659"/>
      <c r="E38" s="659"/>
      <c r="F38" s="659"/>
      <c r="G38" s="659"/>
      <c r="H38" s="659"/>
      <c r="I38" s="659"/>
      <c r="J38" s="659"/>
      <c r="K38" s="659"/>
    </row>
    <row r="39" spans="1:11" x14ac:dyDescent="0.2">
      <c r="A39" s="748" t="s">
        <v>277</v>
      </c>
      <c r="B39" s="659"/>
      <c r="C39" s="659"/>
      <c r="D39" s="659"/>
      <c r="E39" s="659"/>
      <c r="F39" s="659"/>
      <c r="G39" s="659"/>
      <c r="H39" s="659"/>
      <c r="I39" s="659"/>
      <c r="J39" s="659"/>
      <c r="K39" s="659"/>
    </row>
    <row r="40" spans="1:11" x14ac:dyDescent="0.2">
      <c r="A40" s="748" t="s">
        <v>278</v>
      </c>
      <c r="B40" s="659"/>
      <c r="C40" s="659"/>
      <c r="D40" s="659"/>
      <c r="E40" s="659"/>
      <c r="F40" s="659"/>
      <c r="G40" s="659"/>
      <c r="H40" s="659"/>
      <c r="I40" s="659"/>
      <c r="J40" s="659"/>
      <c r="K40" s="659"/>
    </row>
    <row r="41" spans="1:11" x14ac:dyDescent="0.2">
      <c r="A41" s="659"/>
      <c r="B41" s="659"/>
      <c r="C41" s="659"/>
      <c r="D41" s="659"/>
      <c r="E41" s="659"/>
      <c r="F41" s="659"/>
      <c r="G41" s="659"/>
      <c r="H41" s="659"/>
      <c r="I41" s="659"/>
      <c r="J41" s="659"/>
      <c r="K41" s="659"/>
    </row>
  </sheetData>
  <sheetProtection algorithmName="SHA-512" hashValue="BAOkBud8PYxiI7MbDMnG6pNIOhtD/Lxp3no2FzUkirEOUP/7C+lasY1A0WeuV3m74G9EMZYsqabmrIgNAlh6Mg==" saltValue="3gumDQtrvtNObdxS52HVRA==" spinCount="100000" sheet="1" formatCells="0" formatColumns="0" formatRows="0" insertColumns="0" insertRows="0" insertHyperlinks="0" deleteColumns="0" deleteRows="0" sort="0" pivotTables="0"/>
  <dataConsolidate link="1"/>
  <mergeCells count="30">
    <mergeCell ref="A15:B15"/>
    <mergeCell ref="H23:I31"/>
    <mergeCell ref="I9:J13"/>
    <mergeCell ref="A33:B33"/>
    <mergeCell ref="A27:B27"/>
    <mergeCell ref="A28:B28"/>
    <mergeCell ref="A29:B29"/>
    <mergeCell ref="A30:B30"/>
    <mergeCell ref="A31:B31"/>
    <mergeCell ref="G19:I19"/>
    <mergeCell ref="G20:I20"/>
    <mergeCell ref="G17:I17"/>
    <mergeCell ref="G18:I18"/>
    <mergeCell ref="A32:B32"/>
    <mergeCell ref="D4:H7"/>
    <mergeCell ref="A34:B34"/>
    <mergeCell ref="A35:B35"/>
    <mergeCell ref="I1:J1"/>
    <mergeCell ref="A26:B26"/>
    <mergeCell ref="A20:B20"/>
    <mergeCell ref="A21:B21"/>
    <mergeCell ref="A22:B22"/>
    <mergeCell ref="A23:B23"/>
    <mergeCell ref="A24:B24"/>
    <mergeCell ref="A25:B25"/>
    <mergeCell ref="A19:B19"/>
    <mergeCell ref="D1:E1"/>
    <mergeCell ref="G1:H1"/>
    <mergeCell ref="A2:C2"/>
    <mergeCell ref="D8:F8"/>
  </mergeCells>
  <dataValidations count="6">
    <dataValidation type="list" allowBlank="1" prompt="bitte Klappliste öffen und entsprechend auswählen_x000a_Hinweis:_x000a_Ehegatten = verheiratet oder eingetragene Lebenspartnerschaft _x000a_Partner = Verantwortungs- und Einstehensgemeinschaft_x000a__x000a_Bezieht einer der EHEGATTEN kein Bafög, ist im Folgenden der Grund auszuwählen." sqref="D8" xr:uid="{00000000-0002-0000-0100-000000000000}">
      <formula1>"bitte auswählen, alleinerziehend, mit Partner, verheiratet"</formula1>
    </dataValidation>
    <dataValidation type="list" allowBlank="1" showInputMessage="1" showErrorMessage="1" sqref="E21:E35" xr:uid="{00000000-0002-0000-0100-000001000000}">
      <formula1>".,ja,nein"</formula1>
    </dataValidation>
    <dataValidation type="list" allowBlank="1" showInputMessage="1" showErrorMessage="1" sqref="F19:F20" xr:uid="{00000000-0002-0000-0100-000002000000}">
      <formula1>".,nein,Rentner,Aufenthalt,Student"</formula1>
    </dataValidation>
    <dataValidation type="list" allowBlank="1" showInputMessage="1" showErrorMessage="1" sqref="F21:F35" xr:uid="{00000000-0002-0000-0100-000003000000}">
      <formula1>".,nein,Aufenthalt,Student"</formula1>
    </dataValidation>
    <dataValidation type="list" allowBlank="1" showInputMessage="1" showErrorMessage="1" sqref="G19:G20" xr:uid="{00000000-0002-0000-0100-000004000000}">
      <formula1>".,BAföG-Bezug,kein BAföG wg. Einkommen,kein BAföG wg. Alter,kein BAföG wg. Staatsangehörigkeit,kein BAföG wg. Förderungshöchstdauer"</formula1>
    </dataValidation>
    <dataValidation allowBlank="1" showInputMessage="1" showErrorMessage="1" prompt="Bitte geben Sie das Datum im Format MM/JJ ein (z.B. 07/19)." sqref="D2" xr:uid="{00000000-0002-0000-0100-000005000000}"/>
  </dataValidations>
  <pageMargins left="0.70866141732283472" right="0.70866141732283472" top="0.8666666666666667" bottom="0.78740157480314965" header="0.31496062992125984" footer="0.31496062992125984"/>
  <pageSetup paperSize="9" scale="98" orientation="landscape" r:id="rId1"/>
  <headerFooter>
    <oddHeader>&amp;R&amp;D</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1"/>
  <dimension ref="B1:H26"/>
  <sheetViews>
    <sheetView showGridLines="0" zoomScale="120" zoomScaleNormal="120" workbookViewId="0">
      <selection activeCell="F27" sqref="F27"/>
    </sheetView>
  </sheetViews>
  <sheetFormatPr baseColWidth="10" defaultRowHeight="14.25" x14ac:dyDescent="0.2"/>
  <cols>
    <col min="2" max="2" width="8.125" customWidth="1"/>
    <col min="3" max="3" width="19.375" customWidth="1"/>
    <col min="4" max="4" width="21.875" customWidth="1"/>
    <col min="6" max="6" width="20.75" customWidth="1"/>
    <col min="7" max="7" width="16" customWidth="1"/>
  </cols>
  <sheetData>
    <row r="1" spans="2:8" ht="15" thickBot="1" x14ac:dyDescent="0.25"/>
    <row r="2" spans="2:8" x14ac:dyDescent="0.2">
      <c r="B2" s="834" t="s">
        <v>526</v>
      </c>
      <c r="C2" s="835"/>
      <c r="D2" s="836"/>
    </row>
    <row r="3" spans="2:8" ht="15" thickBot="1" x14ac:dyDescent="0.25">
      <c r="B3" s="837"/>
      <c r="C3" s="838"/>
      <c r="D3" s="839"/>
    </row>
    <row r="4" spans="2:8" ht="15" thickBot="1" x14ac:dyDescent="0.25"/>
    <row r="5" spans="2:8" x14ac:dyDescent="0.2">
      <c r="B5" s="840"/>
      <c r="C5" s="842" t="s">
        <v>211</v>
      </c>
      <c r="D5" s="843"/>
      <c r="F5" s="844" t="s">
        <v>527</v>
      </c>
      <c r="G5" s="832"/>
    </row>
    <row r="6" spans="2:8" ht="14.25" customHeight="1" x14ac:dyDescent="0.2">
      <c r="B6" s="841"/>
      <c r="C6" s="618" t="s">
        <v>47</v>
      </c>
      <c r="D6" s="619" t="s">
        <v>528</v>
      </c>
      <c r="F6" s="845"/>
      <c r="G6" s="833"/>
    </row>
    <row r="7" spans="2:8" x14ac:dyDescent="0.2">
      <c r="B7" s="620" t="s">
        <v>190</v>
      </c>
      <c r="C7" s="621"/>
      <c r="D7" s="622"/>
      <c r="F7" s="846" t="s">
        <v>529</v>
      </c>
      <c r="G7" s="847"/>
    </row>
    <row r="8" spans="2:8" ht="14.25" customHeight="1" thickBot="1" x14ac:dyDescent="0.25">
      <c r="B8" s="623" t="s">
        <v>191</v>
      </c>
      <c r="C8" s="624"/>
      <c r="D8" s="625"/>
      <c r="F8" s="846"/>
      <c r="G8" s="848"/>
      <c r="H8" s="642">
        <f>COUNTA(BG!C19:'BG'!C35)</f>
        <v>0</v>
      </c>
    </row>
    <row r="9" spans="2:8" ht="15" thickBot="1" x14ac:dyDescent="0.25">
      <c r="D9" s="626"/>
      <c r="F9" s="846"/>
      <c r="G9" s="849"/>
    </row>
    <row r="10" spans="2:8" ht="14.25" customHeight="1" x14ac:dyDescent="0.2">
      <c r="B10" s="850" t="s">
        <v>530</v>
      </c>
      <c r="C10" s="851"/>
      <c r="D10" s="830" t="str">
        <f>IF(AND(BG!D8="alleinerziehend",Kurzantrag!C8+Kurzantrag!D8&gt;0),"Der Antragsteller ist alleinerziehend und es wurde Einkommen beim Partner/Ehegatten erfasst. Bitte prüfen Sie Ihre Eingaben!","")</f>
        <v/>
      </c>
      <c r="E10" s="831"/>
      <c r="F10" s="854" t="s">
        <v>531</v>
      </c>
      <c r="G10" s="856" t="s">
        <v>521</v>
      </c>
    </row>
    <row r="11" spans="2:8" x14ac:dyDescent="0.2">
      <c r="B11" s="852"/>
      <c r="C11" s="853"/>
      <c r="D11" s="830"/>
      <c r="E11" s="831"/>
      <c r="F11" s="854"/>
      <c r="G11" s="857"/>
    </row>
    <row r="12" spans="2:8" ht="15" thickBot="1" x14ac:dyDescent="0.25">
      <c r="B12" s="627" t="s">
        <v>307</v>
      </c>
      <c r="C12" s="628"/>
      <c r="D12" s="830"/>
      <c r="E12" s="831"/>
      <c r="F12" s="855"/>
      <c r="G12" s="858"/>
    </row>
    <row r="13" spans="2:8" x14ac:dyDescent="0.2">
      <c r="B13" s="627" t="s">
        <v>308</v>
      </c>
      <c r="C13" s="628"/>
      <c r="D13" s="830"/>
      <c r="E13" s="831"/>
    </row>
    <row r="14" spans="2:8" x14ac:dyDescent="0.2">
      <c r="B14" s="627" t="s">
        <v>309</v>
      </c>
      <c r="C14" s="628"/>
      <c r="D14" s="626"/>
      <c r="F14" s="829" t="str">
        <f>IF(AND(G7&lt;H8,BG!D2&gt;0),"Sie haben weniger Personen im Haushalt eingetragen, als in der BG leben!","")</f>
        <v/>
      </c>
      <c r="G14" s="829"/>
    </row>
    <row r="15" spans="2:8" x14ac:dyDescent="0.2">
      <c r="B15" s="627" t="s">
        <v>310</v>
      </c>
      <c r="C15" s="628"/>
      <c r="D15" s="626"/>
      <c r="F15" s="829"/>
      <c r="G15" s="829"/>
    </row>
    <row r="16" spans="2:8" x14ac:dyDescent="0.2">
      <c r="B16" s="627" t="s">
        <v>311</v>
      </c>
      <c r="C16" s="628"/>
      <c r="D16" s="626"/>
    </row>
    <row r="17" spans="2:4" x14ac:dyDescent="0.2">
      <c r="B17" s="627" t="s">
        <v>312</v>
      </c>
      <c r="C17" s="628"/>
      <c r="D17" s="626"/>
    </row>
    <row r="18" spans="2:4" x14ac:dyDescent="0.2">
      <c r="B18" s="627" t="s">
        <v>348</v>
      </c>
      <c r="C18" s="628"/>
      <c r="D18" s="626"/>
    </row>
    <row r="19" spans="2:4" x14ac:dyDescent="0.2">
      <c r="B19" s="627" t="s">
        <v>349</v>
      </c>
      <c r="C19" s="628"/>
      <c r="D19" s="626"/>
    </row>
    <row r="20" spans="2:4" x14ac:dyDescent="0.2">
      <c r="B20" s="627" t="s">
        <v>350</v>
      </c>
      <c r="C20" s="628"/>
      <c r="D20" s="626"/>
    </row>
    <row r="21" spans="2:4" x14ac:dyDescent="0.2">
      <c r="B21" s="627" t="s">
        <v>351</v>
      </c>
      <c r="C21" s="628"/>
      <c r="D21" s="626"/>
    </row>
    <row r="22" spans="2:4" x14ac:dyDescent="0.2">
      <c r="B22" s="627" t="s">
        <v>352</v>
      </c>
      <c r="C22" s="628"/>
      <c r="D22" s="626"/>
    </row>
    <row r="23" spans="2:4" x14ac:dyDescent="0.2">
      <c r="B23" s="627" t="s">
        <v>353</v>
      </c>
      <c r="C23" s="628"/>
      <c r="D23" s="626"/>
    </row>
    <row r="24" spans="2:4" x14ac:dyDescent="0.2">
      <c r="B24" s="627" t="s">
        <v>387</v>
      </c>
      <c r="C24" s="628"/>
    </row>
    <row r="25" spans="2:4" x14ac:dyDescent="0.2">
      <c r="B25" s="627" t="s">
        <v>388</v>
      </c>
      <c r="C25" s="628"/>
    </row>
    <row r="26" spans="2:4" ht="15" thickBot="1" x14ac:dyDescent="0.25">
      <c r="B26" s="629" t="s">
        <v>389</v>
      </c>
      <c r="C26" s="628"/>
    </row>
  </sheetData>
  <sheetProtection algorithmName="SHA-512" hashValue="4ulPwkejlD1xEoZigvitvk6QUedJVZxnA2XaH95s146QydI4HvE2myMXJDU8S97LQZQ/QwMYl36Ki5gTjqDlag==" saltValue="2vFHGJlZJqrt+b8ScPOMDw==" spinCount="100000" sheet="1" objects="1" scenarios="1"/>
  <mergeCells count="13">
    <mergeCell ref="F14:G15"/>
    <mergeCell ref="D10:E13"/>
    <mergeCell ref="G5:G6"/>
    <mergeCell ref="B2:D2"/>
    <mergeCell ref="B3:D3"/>
    <mergeCell ref="B5:B6"/>
    <mergeCell ref="C5:D5"/>
    <mergeCell ref="F5:F6"/>
    <mergeCell ref="F7:F9"/>
    <mergeCell ref="G7:G9"/>
    <mergeCell ref="B10:C11"/>
    <mergeCell ref="F10:F12"/>
    <mergeCell ref="G10:G12"/>
  </mergeCells>
  <conditionalFormatting sqref="G7:G9">
    <cfRule type="expression" dxfId="46" priority="3">
      <formula>$G$7&lt;$H$8</formula>
    </cfRule>
  </conditionalFormatting>
  <dataValidations count="1">
    <dataValidation type="list" allowBlank="1" showInputMessage="1" showErrorMessage="1" sqref="G10:G12" xr:uid="{00000000-0002-0000-0200-000000000000}">
      <formula1>"bitte auswählen,ja,nein"</formula1>
    </dataValidation>
  </dataValidations>
  <pageMargins left="0.7" right="0.7" top="0.78740157499999996" bottom="0.78740157499999996" header="0.3" footer="0.3"/>
  <pageSetup paperSize="9" orientation="landscape" r:id="rId1"/>
  <headerFooter>
    <oddHeader>&amp;LÜbersicht Kurzantrag&amp;R&amp;D</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2" id="{915913A3-B820-4D0A-BA56-3F189C8A3259}">
            <xm:f>AND(BG!D8="alleinerziehend",C8+D8&gt;0)</xm:f>
            <x14:dxf>
              <fill>
                <patternFill>
                  <bgColor theme="5" tint="0.59996337778862885"/>
                </patternFill>
              </fill>
            </x14:dxf>
          </x14:cfRule>
          <xm:sqref>D10:E13</xm:sqref>
        </x14:conditionalFormatting>
        <x14:conditionalFormatting xmlns:xm="http://schemas.microsoft.com/office/excel/2006/main">
          <x14:cfRule type="expression" priority="1" id="{7BB5E50E-7FD0-43F4-A066-F4528922F4A7}">
            <xm:f>AND($G$7&lt;$H$8,BG!$D$2&gt;0)</xm:f>
            <x14:dxf>
              <fill>
                <patternFill>
                  <bgColor theme="5" tint="0.59996337778862885"/>
                </patternFill>
              </fill>
            </x14:dxf>
          </x14:cfRule>
          <xm:sqref>F14:G15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Q89"/>
  <sheetViews>
    <sheetView showGridLines="0" zoomScaleNormal="100" workbookViewId="0">
      <selection activeCell="B14" sqref="B14"/>
    </sheetView>
  </sheetViews>
  <sheetFormatPr baseColWidth="10" defaultRowHeight="14.25" x14ac:dyDescent="0.2"/>
  <cols>
    <col min="1" max="16384" width="11" style="2"/>
  </cols>
  <sheetData>
    <row r="1" spans="1:12" ht="15" x14ac:dyDescent="0.25">
      <c r="A1" s="249"/>
      <c r="B1" s="659"/>
      <c r="C1" s="659"/>
      <c r="D1" s="659"/>
      <c r="E1" s="659"/>
      <c r="F1" s="659"/>
      <c r="G1" s="659"/>
      <c r="H1" s="659"/>
      <c r="I1" s="659"/>
      <c r="J1" s="659"/>
      <c r="K1" s="659"/>
      <c r="L1" s="127"/>
    </row>
    <row r="2" spans="1:12" x14ac:dyDescent="0.2">
      <c r="A2" s="659"/>
      <c r="B2" s="659"/>
      <c r="C2" s="659"/>
      <c r="D2" s="659"/>
      <c r="E2" s="659"/>
      <c r="F2" s="659"/>
      <c r="G2" s="659"/>
      <c r="H2" s="659"/>
      <c r="I2" s="659"/>
      <c r="J2" s="659"/>
      <c r="K2" s="659"/>
      <c r="L2" s="127"/>
    </row>
    <row r="3" spans="1:12" x14ac:dyDescent="0.2">
      <c r="A3" s="659"/>
      <c r="B3" s="659"/>
      <c r="C3" s="659"/>
      <c r="D3" s="659"/>
      <c r="E3" s="659"/>
      <c r="F3" s="659"/>
      <c r="G3" s="659"/>
      <c r="H3" s="659"/>
      <c r="I3" s="659"/>
      <c r="J3" s="659"/>
      <c r="K3" s="659"/>
      <c r="L3" s="127"/>
    </row>
    <row r="4" spans="1:12" x14ac:dyDescent="0.2">
      <c r="A4" s="250" t="s">
        <v>19</v>
      </c>
      <c r="B4" s="251"/>
      <c r="C4" s="252">
        <f>BG!D2</f>
        <v>0</v>
      </c>
      <c r="D4" s="659"/>
      <c r="E4" s="659"/>
      <c r="F4" s="659"/>
      <c r="G4" s="659"/>
      <c r="H4" s="659"/>
      <c r="I4" s="659"/>
      <c r="J4" s="659"/>
      <c r="K4" s="659"/>
      <c r="L4" s="127"/>
    </row>
    <row r="5" spans="1:12" x14ac:dyDescent="0.2">
      <c r="A5" s="659"/>
      <c r="B5" s="659"/>
      <c r="C5" s="659"/>
      <c r="D5" s="659"/>
      <c r="E5" s="659"/>
      <c r="F5" s="659"/>
      <c r="G5" s="659"/>
      <c r="H5" s="659"/>
      <c r="I5" s="659"/>
      <c r="J5" s="659"/>
      <c r="K5" s="659"/>
      <c r="L5" s="127"/>
    </row>
    <row r="6" spans="1:12" ht="15" x14ac:dyDescent="0.25">
      <c r="A6" s="253" t="s">
        <v>20</v>
      </c>
      <c r="B6" s="254"/>
      <c r="C6" s="255" t="e">
        <f>EDATE(C4,-6)</f>
        <v>#NUM!</v>
      </c>
      <c r="D6" s="256" t="s">
        <v>21</v>
      </c>
      <c r="E6" s="257" t="e">
        <f>EDATE(C4,-1)</f>
        <v>#NUM!</v>
      </c>
      <c r="F6" s="659"/>
      <c r="G6" s="659"/>
      <c r="H6" s="659"/>
      <c r="I6" s="659"/>
      <c r="J6" s="659"/>
      <c r="K6" s="659"/>
      <c r="L6" s="127"/>
    </row>
    <row r="7" spans="1:12" x14ac:dyDescent="0.2">
      <c r="A7" s="659"/>
      <c r="B7" s="659"/>
      <c r="C7" s="659"/>
      <c r="D7" s="659"/>
      <c r="E7" s="659"/>
      <c r="F7" s="659"/>
      <c r="G7" s="659"/>
      <c r="H7" s="659"/>
      <c r="I7" s="659"/>
      <c r="J7" s="659"/>
      <c r="K7" s="659"/>
      <c r="L7" s="127"/>
    </row>
    <row r="8" spans="1:12" x14ac:dyDescent="0.2">
      <c r="A8" s="659"/>
      <c r="B8" s="659"/>
      <c r="C8" s="659"/>
      <c r="D8" s="659"/>
      <c r="E8" s="659"/>
      <c r="F8" s="659"/>
      <c r="G8" s="659"/>
      <c r="H8" s="659"/>
      <c r="I8" s="659"/>
      <c r="J8" s="659"/>
      <c r="K8" s="659"/>
      <c r="L8" s="127"/>
    </row>
    <row r="9" spans="1:12" ht="15" x14ac:dyDescent="0.25">
      <c r="A9" s="249" t="s">
        <v>375</v>
      </c>
      <c r="B9" s="659"/>
      <c r="C9" s="659"/>
      <c r="D9" s="659"/>
      <c r="E9" s="659"/>
      <c r="F9" s="659"/>
      <c r="G9" s="659"/>
      <c r="H9" s="659"/>
      <c r="I9" s="659"/>
      <c r="J9" s="659"/>
      <c r="K9" s="659"/>
      <c r="L9" s="127"/>
    </row>
    <row r="10" spans="1:12" ht="15" x14ac:dyDescent="0.25">
      <c r="A10" s="249"/>
      <c r="B10" s="659"/>
      <c r="C10" s="659"/>
      <c r="D10" s="659"/>
      <c r="E10" s="659"/>
      <c r="F10" s="659"/>
      <c r="G10" s="659"/>
      <c r="H10" s="659"/>
      <c r="I10" s="659"/>
      <c r="J10" s="659"/>
      <c r="K10" s="659"/>
      <c r="L10" s="127"/>
    </row>
    <row r="11" spans="1:12" x14ac:dyDescent="0.2">
      <c r="A11" s="659"/>
      <c r="B11" s="242"/>
      <c r="C11" s="242"/>
      <c r="D11" s="242"/>
      <c r="E11" s="242"/>
      <c r="F11" s="242"/>
      <c r="G11" s="242"/>
      <c r="H11" s="655" t="s">
        <v>22</v>
      </c>
      <c r="I11" s="242"/>
      <c r="J11" s="655" t="s">
        <v>23</v>
      </c>
      <c r="K11" s="655" t="s">
        <v>336</v>
      </c>
      <c r="L11" s="127"/>
    </row>
    <row r="12" spans="1:12" x14ac:dyDescent="0.2">
      <c r="A12" s="659"/>
      <c r="B12" s="259" t="s">
        <v>24</v>
      </c>
      <c r="C12" s="259" t="s">
        <v>25</v>
      </c>
      <c r="D12" s="259" t="s">
        <v>26</v>
      </c>
      <c r="E12" s="259" t="s">
        <v>23</v>
      </c>
      <c r="F12" s="259" t="s">
        <v>23</v>
      </c>
      <c r="G12" s="259" t="s">
        <v>27</v>
      </c>
      <c r="H12" s="259" t="s">
        <v>28</v>
      </c>
      <c r="I12" s="260"/>
      <c r="J12" s="261" t="s">
        <v>335</v>
      </c>
      <c r="K12" s="259" t="s">
        <v>337</v>
      </c>
      <c r="L12" s="127"/>
    </row>
    <row r="13" spans="1:12" ht="15" x14ac:dyDescent="0.25">
      <c r="A13" s="654" t="s">
        <v>29</v>
      </c>
      <c r="B13" s="656" t="s">
        <v>30</v>
      </c>
      <c r="C13" s="656" t="s">
        <v>31</v>
      </c>
      <c r="D13" s="656" t="s">
        <v>32</v>
      </c>
      <c r="E13" s="656" t="s">
        <v>33</v>
      </c>
      <c r="F13" s="656" t="s">
        <v>34</v>
      </c>
      <c r="G13" s="656" t="s">
        <v>35</v>
      </c>
      <c r="H13" s="262" t="s">
        <v>36</v>
      </c>
      <c r="I13" s="262" t="s">
        <v>37</v>
      </c>
      <c r="J13" s="262" t="s">
        <v>42</v>
      </c>
      <c r="K13" s="656" t="s">
        <v>338</v>
      </c>
      <c r="L13" s="127"/>
    </row>
    <row r="14" spans="1:12" ht="15" x14ac:dyDescent="0.25">
      <c r="A14" s="263" t="e">
        <f>EDATE(C4,-6)</f>
        <v>#NUM!</v>
      </c>
      <c r="B14" s="264"/>
      <c r="C14" s="264"/>
      <c r="D14" s="264"/>
      <c r="E14" s="264"/>
      <c r="F14" s="264"/>
      <c r="G14" s="264"/>
      <c r="H14" s="264"/>
      <c r="I14" s="264"/>
      <c r="J14" s="264"/>
      <c r="K14" s="264"/>
      <c r="L14" s="127"/>
    </row>
    <row r="15" spans="1:12" x14ac:dyDescent="0.2">
      <c r="A15" s="265" t="s">
        <v>38</v>
      </c>
      <c r="B15" s="266"/>
      <c r="C15" s="266"/>
      <c r="D15" s="266"/>
      <c r="E15" s="266"/>
      <c r="F15" s="266"/>
      <c r="G15" s="266"/>
      <c r="H15" s="266"/>
      <c r="I15" s="266"/>
      <c r="J15" s="266"/>
      <c r="K15" s="267"/>
      <c r="L15" s="127"/>
    </row>
    <row r="16" spans="1:12" x14ac:dyDescent="0.2">
      <c r="A16" s="268" t="s">
        <v>373</v>
      </c>
      <c r="B16" s="269"/>
      <c r="C16" s="859" t="str">
        <f>IF(C14+C15+C18+C19+C22+C23+C26+C27+C30+C31+C34+C35&gt;0,"Beginn der Selbständigkeit:"," ")</f>
        <v xml:space="preserve"> </v>
      </c>
      <c r="D16" s="860"/>
      <c r="E16" s="727"/>
      <c r="F16" s="270" t="str">
        <f>IF(C14+C15+C18+C19+C22+C23+C26+C27+C30+C31+C34+C35&gt;0,"bitte hier"," ")</f>
        <v xml:space="preserve"> </v>
      </c>
      <c r="G16" s="246" t="e">
        <f>IF(E16&lt;C6,6,DATEDIF(H17,E6,"m")+1)</f>
        <v>#NUM!</v>
      </c>
      <c r="H16" s="247" t="e">
        <f>IF(E17=ISBLANK(0),G16,IF(E16=ISBLANK(0),G17,DATEDIF(H17,I17,"m")+1))</f>
        <v>#NUM!</v>
      </c>
      <c r="I16" s="248"/>
      <c r="J16" s="271"/>
      <c r="K16" s="659"/>
      <c r="L16" s="127"/>
    </row>
    <row r="17" spans="1:12" x14ac:dyDescent="0.2">
      <c r="A17" s="272" t="s">
        <v>374</v>
      </c>
      <c r="B17" s="273"/>
      <c r="C17" s="861" t="str">
        <f>IF(C14+C15+C18+C19+C22+C23+C26+C27+C30+C31+C34+C35&gt;0,"ggf. Ende der Selbständigkeit:"," ")</f>
        <v xml:space="preserve"> </v>
      </c>
      <c r="D17" s="862"/>
      <c r="E17" s="728"/>
      <c r="F17" s="274" t="str">
        <f>IF(C14+C15+C18+C19+C22+C23+C26+C27+C30+C31+C34+C35&gt;0,"eingeben"," ")</f>
        <v xml:space="preserve"> </v>
      </c>
      <c r="G17" s="81" t="e">
        <f>IF(E17&lt;C6,6,DATEDIF(C6,I17,"m")+1)</f>
        <v>#NUM!</v>
      </c>
      <c r="H17" s="179" t="e">
        <f>IF(E16&lt;C6,C6,E16)</f>
        <v>#NUM!</v>
      </c>
      <c r="I17" s="179" t="e">
        <f>IF(E17&gt;E6,E6,E17)</f>
        <v>#NUM!</v>
      </c>
      <c r="J17" s="240"/>
      <c r="K17" s="659"/>
      <c r="L17" s="127"/>
    </row>
    <row r="18" spans="1:12" ht="15" x14ac:dyDescent="0.25">
      <c r="A18" s="263" t="e">
        <f>EDATE(C4,-5)</f>
        <v>#NUM!</v>
      </c>
      <c r="B18" s="264"/>
      <c r="C18" s="264"/>
      <c r="D18" s="264"/>
      <c r="E18" s="264"/>
      <c r="F18" s="264"/>
      <c r="G18" s="264"/>
      <c r="H18" s="264"/>
      <c r="I18" s="264"/>
      <c r="J18" s="264"/>
      <c r="K18" s="264"/>
      <c r="L18" s="127"/>
    </row>
    <row r="19" spans="1:12" x14ac:dyDescent="0.2">
      <c r="A19" s="265" t="s">
        <v>38</v>
      </c>
      <c r="B19" s="266"/>
      <c r="C19" s="266"/>
      <c r="D19" s="266"/>
      <c r="E19" s="266"/>
      <c r="F19" s="266"/>
      <c r="G19" s="266"/>
      <c r="H19" s="266"/>
      <c r="I19" s="266"/>
      <c r="J19" s="266"/>
      <c r="K19" s="267"/>
      <c r="L19" s="127"/>
    </row>
    <row r="20" spans="1:12" x14ac:dyDescent="0.2">
      <c r="A20" s="268" t="s">
        <v>373</v>
      </c>
      <c r="B20" s="269"/>
      <c r="C20" s="659"/>
      <c r="D20" s="659"/>
      <c r="E20" s="659"/>
      <c r="F20" s="659"/>
      <c r="G20" s="659"/>
      <c r="H20" s="659"/>
      <c r="I20" s="659"/>
      <c r="J20" s="659"/>
      <c r="K20" s="659"/>
      <c r="L20" s="127"/>
    </row>
    <row r="21" spans="1:12" x14ac:dyDescent="0.2">
      <c r="A21" s="272" t="s">
        <v>374</v>
      </c>
      <c r="B21" s="273"/>
      <c r="C21" s="659"/>
      <c r="D21" s="659"/>
      <c r="E21" s="659"/>
      <c r="F21" s="659"/>
      <c r="G21" s="659"/>
      <c r="H21" s="659"/>
      <c r="I21" s="659"/>
      <c r="J21" s="659"/>
      <c r="K21" s="659"/>
      <c r="L21" s="127"/>
    </row>
    <row r="22" spans="1:12" ht="15" x14ac:dyDescent="0.25">
      <c r="A22" s="263" t="e">
        <f>EDATE(C4,-4)</f>
        <v>#NUM!</v>
      </c>
      <c r="B22" s="264"/>
      <c r="C22" s="264"/>
      <c r="D22" s="264"/>
      <c r="E22" s="264"/>
      <c r="F22" s="264"/>
      <c r="G22" s="264"/>
      <c r="H22" s="264"/>
      <c r="I22" s="264"/>
      <c r="J22" s="264"/>
      <c r="K22" s="264"/>
      <c r="L22" s="127"/>
    </row>
    <row r="23" spans="1:12" x14ac:dyDescent="0.2">
      <c r="A23" s="265" t="s">
        <v>38</v>
      </c>
      <c r="B23" s="266"/>
      <c r="C23" s="266"/>
      <c r="D23" s="266"/>
      <c r="E23" s="266"/>
      <c r="F23" s="266"/>
      <c r="G23" s="266"/>
      <c r="H23" s="266"/>
      <c r="I23" s="266"/>
      <c r="J23" s="266"/>
      <c r="K23" s="267"/>
      <c r="L23" s="127"/>
    </row>
    <row r="24" spans="1:12" x14ac:dyDescent="0.2">
      <c r="A24" s="268" t="s">
        <v>373</v>
      </c>
      <c r="B24" s="269"/>
      <c r="C24" s="659"/>
      <c r="D24" s="659"/>
      <c r="E24" s="659"/>
      <c r="F24" s="659"/>
      <c r="G24" s="659"/>
      <c r="H24" s="659"/>
      <c r="I24" s="659"/>
      <c r="J24" s="659"/>
      <c r="K24" s="659"/>
      <c r="L24" s="127"/>
    </row>
    <row r="25" spans="1:12" x14ac:dyDescent="0.2">
      <c r="A25" s="272" t="s">
        <v>374</v>
      </c>
      <c r="B25" s="273"/>
      <c r="C25" s="659"/>
      <c r="D25" s="659"/>
      <c r="E25" s="659"/>
      <c r="F25" s="659"/>
      <c r="G25" s="659"/>
      <c r="H25" s="659"/>
      <c r="I25" s="659"/>
      <c r="J25" s="659"/>
      <c r="K25" s="659"/>
      <c r="L25" s="127"/>
    </row>
    <row r="26" spans="1:12" ht="15" x14ac:dyDescent="0.25">
      <c r="A26" s="263" t="e">
        <f>EDATE(C4,-3)</f>
        <v>#NUM!</v>
      </c>
      <c r="B26" s="264"/>
      <c r="C26" s="264"/>
      <c r="D26" s="264"/>
      <c r="E26" s="264"/>
      <c r="F26" s="264"/>
      <c r="G26" s="264"/>
      <c r="H26" s="264"/>
      <c r="I26" s="264"/>
      <c r="J26" s="264"/>
      <c r="K26" s="264"/>
      <c r="L26" s="127"/>
    </row>
    <row r="27" spans="1:12" x14ac:dyDescent="0.2">
      <c r="A27" s="265" t="s">
        <v>38</v>
      </c>
      <c r="B27" s="266"/>
      <c r="C27" s="266"/>
      <c r="D27" s="266"/>
      <c r="E27" s="266"/>
      <c r="F27" s="266"/>
      <c r="G27" s="266"/>
      <c r="H27" s="266"/>
      <c r="I27" s="266"/>
      <c r="J27" s="266"/>
      <c r="K27" s="267"/>
      <c r="L27" s="127"/>
    </row>
    <row r="28" spans="1:12" x14ac:dyDescent="0.2">
      <c r="A28" s="268" t="s">
        <v>373</v>
      </c>
      <c r="B28" s="269"/>
      <c r="C28" s="659"/>
      <c r="D28" s="659"/>
      <c r="E28" s="659"/>
      <c r="F28" s="659"/>
      <c r="G28" s="659"/>
      <c r="H28" s="659"/>
      <c r="I28" s="659"/>
      <c r="J28" s="659"/>
      <c r="K28" s="659"/>
      <c r="L28" s="127"/>
    </row>
    <row r="29" spans="1:12" x14ac:dyDescent="0.2">
      <c r="A29" s="272" t="s">
        <v>374</v>
      </c>
      <c r="B29" s="273"/>
      <c r="C29" s="659"/>
      <c r="D29" s="659"/>
      <c r="E29" s="659"/>
      <c r="F29" s="659"/>
      <c r="G29" s="659"/>
      <c r="H29" s="659"/>
      <c r="I29" s="659"/>
      <c r="J29" s="659"/>
      <c r="K29" s="659"/>
      <c r="L29" s="127"/>
    </row>
    <row r="30" spans="1:12" ht="15" x14ac:dyDescent="0.25">
      <c r="A30" s="263" t="e">
        <f>EDATE(C4,-2)</f>
        <v>#NUM!</v>
      </c>
      <c r="B30" s="264"/>
      <c r="C30" s="264"/>
      <c r="D30" s="264"/>
      <c r="E30" s="264"/>
      <c r="F30" s="264"/>
      <c r="G30" s="264"/>
      <c r="H30" s="264"/>
      <c r="I30" s="264"/>
      <c r="J30" s="264"/>
      <c r="K30" s="264"/>
      <c r="L30" s="127"/>
    </row>
    <row r="31" spans="1:12" x14ac:dyDescent="0.2">
      <c r="A31" s="265" t="s">
        <v>38</v>
      </c>
      <c r="B31" s="266"/>
      <c r="C31" s="266"/>
      <c r="D31" s="266"/>
      <c r="E31" s="266"/>
      <c r="F31" s="266"/>
      <c r="G31" s="266"/>
      <c r="H31" s="266"/>
      <c r="I31" s="266"/>
      <c r="J31" s="266"/>
      <c r="K31" s="267"/>
      <c r="L31" s="127"/>
    </row>
    <row r="32" spans="1:12" x14ac:dyDescent="0.2">
      <c r="A32" s="268" t="s">
        <v>373</v>
      </c>
      <c r="B32" s="269"/>
      <c r="C32" s="659"/>
      <c r="D32" s="659"/>
      <c r="E32" s="659"/>
      <c r="F32" s="659"/>
      <c r="G32" s="659"/>
      <c r="H32" s="659"/>
      <c r="I32" s="659"/>
      <c r="J32" s="659"/>
      <c r="K32" s="659"/>
      <c r="L32" s="127"/>
    </row>
    <row r="33" spans="1:12" x14ac:dyDescent="0.2">
      <c r="A33" s="272" t="s">
        <v>374</v>
      </c>
      <c r="B33" s="273"/>
      <c r="C33" s="659"/>
      <c r="D33" s="659"/>
      <c r="E33" s="659"/>
      <c r="F33" s="659"/>
      <c r="G33" s="659"/>
      <c r="H33" s="659"/>
      <c r="I33" s="659"/>
      <c r="J33" s="659"/>
      <c r="K33" s="659"/>
      <c r="L33" s="127"/>
    </row>
    <row r="34" spans="1:12" ht="15" x14ac:dyDescent="0.25">
      <c r="A34" s="263" t="e">
        <f>EDATE(C4,-1)</f>
        <v>#NUM!</v>
      </c>
      <c r="B34" s="264"/>
      <c r="C34" s="264"/>
      <c r="D34" s="264"/>
      <c r="E34" s="264"/>
      <c r="F34" s="264"/>
      <c r="G34" s="264"/>
      <c r="H34" s="264"/>
      <c r="I34" s="264"/>
      <c r="J34" s="264"/>
      <c r="K34" s="264"/>
      <c r="L34" s="127"/>
    </row>
    <row r="35" spans="1:12" x14ac:dyDescent="0.2">
      <c r="A35" s="265" t="s">
        <v>38</v>
      </c>
      <c r="B35" s="266"/>
      <c r="C35" s="266"/>
      <c r="D35" s="266"/>
      <c r="E35" s="266"/>
      <c r="F35" s="266"/>
      <c r="G35" s="266"/>
      <c r="H35" s="266"/>
      <c r="I35" s="266"/>
      <c r="J35" s="266"/>
      <c r="K35" s="267"/>
      <c r="L35" s="127"/>
    </row>
    <row r="36" spans="1:12" x14ac:dyDescent="0.2">
      <c r="A36" s="268" t="s">
        <v>373</v>
      </c>
      <c r="B36" s="269"/>
      <c r="C36" s="659"/>
      <c r="D36" s="659"/>
      <c r="E36" s="659"/>
      <c r="F36" s="659"/>
      <c r="G36" s="659"/>
      <c r="H36" s="659"/>
      <c r="I36" s="659"/>
      <c r="J36" s="659"/>
      <c r="K36" s="659"/>
      <c r="L36" s="127"/>
    </row>
    <row r="37" spans="1:12" x14ac:dyDescent="0.2">
      <c r="A37" s="272" t="s">
        <v>374</v>
      </c>
      <c r="B37" s="273"/>
      <c r="C37" s="659"/>
      <c r="D37" s="659"/>
      <c r="E37" s="659"/>
      <c r="F37" s="659"/>
      <c r="G37" s="659"/>
      <c r="H37" s="659"/>
      <c r="I37" s="659"/>
      <c r="J37" s="659"/>
      <c r="K37" s="659"/>
      <c r="L37" s="127"/>
    </row>
    <row r="38" spans="1:12" x14ac:dyDescent="0.2">
      <c r="A38" s="659"/>
      <c r="B38" s="659"/>
      <c r="C38" s="659"/>
      <c r="D38" s="659"/>
      <c r="E38" s="659"/>
      <c r="F38" s="659"/>
      <c r="G38" s="659"/>
      <c r="H38" s="659"/>
      <c r="I38" s="659"/>
      <c r="J38" s="659"/>
      <c r="K38" s="659"/>
      <c r="L38" s="127"/>
    </row>
    <row r="39" spans="1:12" ht="15" x14ac:dyDescent="0.25">
      <c r="A39" s="249" t="s">
        <v>376</v>
      </c>
      <c r="B39" s="659"/>
      <c r="C39" s="659"/>
      <c r="D39" s="659"/>
      <c r="E39" s="654" t="str">
        <f>IF(BG!D8="bitte auswählen"," ",IF(BG!D8="alleinerziehend","entfällt"," "))</f>
        <v xml:space="preserve"> </v>
      </c>
      <c r="F39" s="659"/>
      <c r="G39" s="659"/>
      <c r="H39" s="659"/>
      <c r="I39" s="659"/>
      <c r="J39" s="659"/>
      <c r="K39" s="659"/>
      <c r="L39" s="127"/>
    </row>
    <row r="40" spans="1:12" ht="15" x14ac:dyDescent="0.25">
      <c r="A40" s="249"/>
      <c r="B40" s="659"/>
      <c r="C40" s="659"/>
      <c r="D40" s="659"/>
      <c r="E40" s="659"/>
      <c r="F40" s="659"/>
      <c r="G40" s="659"/>
      <c r="H40" s="659"/>
      <c r="I40" s="659"/>
      <c r="J40" s="659"/>
      <c r="K40" s="659"/>
      <c r="L40" s="127"/>
    </row>
    <row r="41" spans="1:12" x14ac:dyDescent="0.2">
      <c r="A41" s="659"/>
      <c r="B41" s="863" t="s">
        <v>40</v>
      </c>
      <c r="C41" s="863" t="s">
        <v>41</v>
      </c>
      <c r="D41" s="242"/>
      <c r="E41" s="242"/>
      <c r="F41" s="242"/>
      <c r="G41" s="242"/>
      <c r="H41" s="655" t="s">
        <v>22</v>
      </c>
      <c r="I41" s="275"/>
      <c r="J41" s="655" t="s">
        <v>23</v>
      </c>
      <c r="K41" s="655" t="s">
        <v>336</v>
      </c>
      <c r="L41" s="127"/>
    </row>
    <row r="42" spans="1:12" x14ac:dyDescent="0.2">
      <c r="A42" s="659"/>
      <c r="B42" s="864"/>
      <c r="C42" s="864"/>
      <c r="D42" s="259" t="s">
        <v>26</v>
      </c>
      <c r="E42" s="259" t="s">
        <v>23</v>
      </c>
      <c r="F42" s="259" t="s">
        <v>23</v>
      </c>
      <c r="G42" s="259" t="s">
        <v>27</v>
      </c>
      <c r="H42" s="259" t="s">
        <v>28</v>
      </c>
      <c r="I42" s="260"/>
      <c r="J42" s="261" t="s">
        <v>335</v>
      </c>
      <c r="K42" s="259" t="s">
        <v>337</v>
      </c>
      <c r="L42" s="127"/>
    </row>
    <row r="43" spans="1:12" ht="15" x14ac:dyDescent="0.25">
      <c r="A43" s="654" t="s">
        <v>29</v>
      </c>
      <c r="B43" s="865"/>
      <c r="C43" s="865"/>
      <c r="D43" s="656" t="s">
        <v>32</v>
      </c>
      <c r="E43" s="656" t="s">
        <v>33</v>
      </c>
      <c r="F43" s="656" t="s">
        <v>34</v>
      </c>
      <c r="G43" s="656" t="s">
        <v>35</v>
      </c>
      <c r="H43" s="262" t="s">
        <v>36</v>
      </c>
      <c r="I43" s="262" t="s">
        <v>37</v>
      </c>
      <c r="J43" s="262" t="s">
        <v>42</v>
      </c>
      <c r="K43" s="259" t="s">
        <v>338</v>
      </c>
      <c r="L43" s="127"/>
    </row>
    <row r="44" spans="1:12" ht="15" x14ac:dyDescent="0.25">
      <c r="A44" s="255" t="e">
        <f>EDATE(C4,-6)</f>
        <v>#NUM!</v>
      </c>
      <c r="B44" s="264"/>
      <c r="C44" s="264"/>
      <c r="D44" s="264"/>
      <c r="E44" s="264"/>
      <c r="F44" s="264"/>
      <c r="G44" s="264"/>
      <c r="H44" s="264"/>
      <c r="I44" s="264"/>
      <c r="J44" s="264"/>
      <c r="K44" s="264"/>
      <c r="L44" s="127"/>
    </row>
    <row r="45" spans="1:12" x14ac:dyDescent="0.2">
      <c r="A45" s="276" t="s">
        <v>38</v>
      </c>
      <c r="B45" s="266"/>
      <c r="C45" s="266"/>
      <c r="D45" s="266"/>
      <c r="E45" s="266"/>
      <c r="F45" s="266"/>
      <c r="G45" s="266"/>
      <c r="H45" s="266"/>
      <c r="I45" s="266"/>
      <c r="J45" s="266"/>
      <c r="K45" s="267"/>
      <c r="L45" s="127"/>
    </row>
    <row r="46" spans="1:12" x14ac:dyDescent="0.2">
      <c r="A46" s="268" t="s">
        <v>373</v>
      </c>
      <c r="B46" s="277"/>
      <c r="C46" s="859" t="str">
        <f>IF(C44+C45+C48+C49+C52+C53+C56+C57+C60+C61+C64+C65&gt;0,"Beginn der Selbständigkeit:"," ")</f>
        <v xml:space="preserve"> </v>
      </c>
      <c r="D46" s="860"/>
      <c r="E46" s="727"/>
      <c r="F46" s="270" t="str">
        <f>IF(C44+C45+C48+C49+C52+C53+C56+C57+C60+C61+C64+C65&gt;0,"bitte hier"," ")</f>
        <v xml:space="preserve"> </v>
      </c>
      <c r="G46" s="246" t="e">
        <f>IF(E46&lt;C6,6,DATEDIF(H47,E6,"m")+1)</f>
        <v>#NUM!</v>
      </c>
      <c r="H46" s="247" t="e">
        <f>IF(E47=ISBLANK(0),G46,IF(E46=ISBLANK(0),G47,DATEDIF(H47,I47,"m")+1))</f>
        <v>#NUM!</v>
      </c>
      <c r="I46" s="248"/>
      <c r="J46" s="271"/>
      <c r="K46" s="659"/>
      <c r="L46" s="127"/>
    </row>
    <row r="47" spans="1:12" x14ac:dyDescent="0.2">
      <c r="A47" s="272" t="s">
        <v>374</v>
      </c>
      <c r="B47" s="278"/>
      <c r="C47" s="861" t="str">
        <f>IF(C44+C45+C48+C49+C52+C53+C56+C57+C60+C61+C64+C65&gt;0,"ggf. Ende der Selbständigkeit:"," ")</f>
        <v xml:space="preserve"> </v>
      </c>
      <c r="D47" s="862"/>
      <c r="E47" s="728"/>
      <c r="F47" s="274" t="str">
        <f>IF(C44+C45+C48+C49+C52+C53+C56+C57+C60+C61+C64+C65&gt;0,"eingeben"," ")</f>
        <v xml:space="preserve"> </v>
      </c>
      <c r="G47" s="81" t="e">
        <f>IF(E47&lt;C6,6,DATEDIF(C6,I47,"m")+1)</f>
        <v>#NUM!</v>
      </c>
      <c r="H47" s="179" t="e">
        <f>IF(E46&lt;C6,C6,E46)</f>
        <v>#NUM!</v>
      </c>
      <c r="I47" s="179" t="e">
        <f>IF(E47&gt;E6,E6,E47)</f>
        <v>#NUM!</v>
      </c>
      <c r="J47" s="279"/>
      <c r="K47" s="659"/>
      <c r="L47" s="127"/>
    </row>
    <row r="48" spans="1:12" ht="15" x14ac:dyDescent="0.25">
      <c r="A48" s="255" t="e">
        <f>EDATE(C4,-5)</f>
        <v>#NUM!</v>
      </c>
      <c r="B48" s="264"/>
      <c r="C48" s="264"/>
      <c r="D48" s="264"/>
      <c r="E48" s="264"/>
      <c r="F48" s="264"/>
      <c r="G48" s="264"/>
      <c r="H48" s="264"/>
      <c r="I48" s="264"/>
      <c r="J48" s="264"/>
      <c r="K48" s="264"/>
      <c r="L48" s="127"/>
    </row>
    <row r="49" spans="1:17" x14ac:dyDescent="0.2">
      <c r="A49" s="276" t="s">
        <v>38</v>
      </c>
      <c r="B49" s="266"/>
      <c r="C49" s="266"/>
      <c r="D49" s="266"/>
      <c r="E49" s="266"/>
      <c r="F49" s="266"/>
      <c r="G49" s="266"/>
      <c r="H49" s="266"/>
      <c r="I49" s="266"/>
      <c r="J49" s="266"/>
      <c r="K49" s="267"/>
      <c r="L49" s="127"/>
    </row>
    <row r="50" spans="1:17" x14ac:dyDescent="0.2">
      <c r="A50" s="268" t="s">
        <v>373</v>
      </c>
      <c r="B50" s="277"/>
      <c r="C50" s="659"/>
      <c r="D50" s="659"/>
      <c r="E50" s="659"/>
      <c r="F50" s="659"/>
      <c r="G50" s="659"/>
      <c r="H50" s="659"/>
      <c r="I50" s="659"/>
      <c r="J50" s="659"/>
      <c r="K50" s="659"/>
      <c r="L50" s="127"/>
    </row>
    <row r="51" spans="1:17" x14ac:dyDescent="0.2">
      <c r="A51" s="272" t="s">
        <v>374</v>
      </c>
      <c r="B51" s="278"/>
      <c r="C51" s="659"/>
      <c r="D51" s="659"/>
      <c r="E51" s="659"/>
      <c r="F51" s="659"/>
      <c r="G51" s="659"/>
      <c r="H51" s="659"/>
      <c r="I51" s="659"/>
      <c r="J51" s="659"/>
      <c r="K51" s="659"/>
      <c r="L51" s="127"/>
    </row>
    <row r="52" spans="1:17" ht="15" x14ac:dyDescent="0.25">
      <c r="A52" s="255" t="e">
        <f>EDATE(C4,-4)</f>
        <v>#NUM!</v>
      </c>
      <c r="B52" s="264"/>
      <c r="C52" s="264"/>
      <c r="D52" s="264"/>
      <c r="E52" s="264"/>
      <c r="F52" s="264"/>
      <c r="G52" s="264"/>
      <c r="H52" s="264"/>
      <c r="I52" s="264"/>
      <c r="J52" s="264"/>
      <c r="K52" s="264"/>
      <c r="L52" s="127"/>
    </row>
    <row r="53" spans="1:17" x14ac:dyDescent="0.2">
      <c r="A53" s="276" t="s">
        <v>38</v>
      </c>
      <c r="B53" s="266"/>
      <c r="C53" s="266"/>
      <c r="D53" s="266"/>
      <c r="E53" s="266"/>
      <c r="F53" s="266"/>
      <c r="G53" s="266"/>
      <c r="H53" s="266"/>
      <c r="I53" s="266"/>
      <c r="J53" s="266"/>
      <c r="K53" s="267"/>
      <c r="L53" s="127"/>
    </row>
    <row r="54" spans="1:17" x14ac:dyDescent="0.2">
      <c r="A54" s="268" t="s">
        <v>373</v>
      </c>
      <c r="B54" s="277"/>
      <c r="C54" s="280"/>
      <c r="D54" s="271"/>
      <c r="E54" s="271"/>
      <c r="F54" s="271"/>
      <c r="G54" s="271"/>
      <c r="H54" s="271"/>
      <c r="I54" s="271"/>
      <c r="J54" s="271"/>
      <c r="K54" s="659"/>
      <c r="L54" s="127"/>
    </row>
    <row r="55" spans="1:17" x14ac:dyDescent="0.2">
      <c r="A55" s="272" t="s">
        <v>374</v>
      </c>
      <c r="B55" s="278"/>
      <c r="C55" s="281"/>
      <c r="D55" s="279"/>
      <c r="E55" s="279"/>
      <c r="F55" s="279"/>
      <c r="G55" s="279"/>
      <c r="H55" s="279"/>
      <c r="I55" s="279"/>
      <c r="J55" s="279"/>
      <c r="K55" s="659"/>
      <c r="L55" s="127"/>
    </row>
    <row r="56" spans="1:17" ht="15" x14ac:dyDescent="0.25">
      <c r="A56" s="255" t="e">
        <f>EDATE(C4,-3)</f>
        <v>#NUM!</v>
      </c>
      <c r="B56" s="264"/>
      <c r="C56" s="264"/>
      <c r="D56" s="264"/>
      <c r="E56" s="264"/>
      <c r="F56" s="264"/>
      <c r="G56" s="264"/>
      <c r="H56" s="264"/>
      <c r="I56" s="264"/>
      <c r="J56" s="264"/>
      <c r="K56" s="264"/>
      <c r="L56" s="127"/>
    </row>
    <row r="57" spans="1:17" x14ac:dyDescent="0.2">
      <c r="A57" s="276" t="s">
        <v>38</v>
      </c>
      <c r="B57" s="266"/>
      <c r="C57" s="266"/>
      <c r="D57" s="266"/>
      <c r="E57" s="266"/>
      <c r="F57" s="266"/>
      <c r="G57" s="266"/>
      <c r="H57" s="266"/>
      <c r="I57" s="266"/>
      <c r="J57" s="266"/>
      <c r="K57" s="267"/>
      <c r="L57" s="127"/>
    </row>
    <row r="58" spans="1:17" x14ac:dyDescent="0.2">
      <c r="A58" s="268" t="s">
        <v>373</v>
      </c>
      <c r="B58" s="277"/>
      <c r="C58" s="659"/>
      <c r="D58" s="659"/>
      <c r="E58" s="659"/>
      <c r="F58" s="659"/>
      <c r="G58" s="659"/>
      <c r="H58" s="659"/>
      <c r="I58" s="659"/>
      <c r="J58" s="659"/>
      <c r="K58" s="659"/>
      <c r="L58" s="127"/>
      <c r="M58" s="67"/>
      <c r="N58" s="67"/>
      <c r="O58" s="67"/>
      <c r="P58" s="67"/>
      <c r="Q58" s="67"/>
    </row>
    <row r="59" spans="1:17" x14ac:dyDescent="0.2">
      <c r="A59" s="272" t="s">
        <v>374</v>
      </c>
      <c r="B59" s="278"/>
      <c r="C59" s="659"/>
      <c r="D59" s="659"/>
      <c r="E59" s="659"/>
      <c r="F59" s="659"/>
      <c r="G59" s="659"/>
      <c r="H59" s="659"/>
      <c r="I59" s="659"/>
      <c r="J59" s="659"/>
      <c r="K59" s="659"/>
      <c r="L59" s="127"/>
    </row>
    <row r="60" spans="1:17" ht="15" x14ac:dyDescent="0.25">
      <c r="A60" s="255" t="e">
        <f>EDATE(C4,-2)</f>
        <v>#NUM!</v>
      </c>
      <c r="B60" s="264"/>
      <c r="C60" s="264"/>
      <c r="D60" s="264"/>
      <c r="E60" s="264"/>
      <c r="F60" s="264"/>
      <c r="G60" s="264"/>
      <c r="H60" s="264"/>
      <c r="I60" s="264"/>
      <c r="J60" s="264"/>
      <c r="K60" s="264"/>
      <c r="L60" s="127"/>
    </row>
    <row r="61" spans="1:17" x14ac:dyDescent="0.2">
      <c r="A61" s="276" t="s">
        <v>38</v>
      </c>
      <c r="B61" s="266"/>
      <c r="C61" s="266"/>
      <c r="D61" s="266"/>
      <c r="E61" s="266"/>
      <c r="F61" s="266"/>
      <c r="G61" s="266"/>
      <c r="H61" s="266"/>
      <c r="I61" s="266"/>
      <c r="J61" s="266"/>
      <c r="K61" s="267"/>
      <c r="L61" s="127"/>
    </row>
    <row r="62" spans="1:17" x14ac:dyDescent="0.2">
      <c r="A62" s="268" t="s">
        <v>373</v>
      </c>
      <c r="B62" s="277"/>
      <c r="C62" s="241"/>
      <c r="D62" s="282"/>
      <c r="E62" s="282"/>
      <c r="F62" s="282"/>
      <c r="G62" s="282"/>
      <c r="H62" s="282"/>
      <c r="I62" s="282"/>
      <c r="J62" s="282"/>
      <c r="K62" s="659"/>
      <c r="L62" s="127"/>
    </row>
    <row r="63" spans="1:17" x14ac:dyDescent="0.2">
      <c r="A63" s="272" t="s">
        <v>374</v>
      </c>
      <c r="B63" s="278"/>
      <c r="C63" s="283"/>
      <c r="D63" s="284"/>
      <c r="E63" s="284"/>
      <c r="F63" s="284"/>
      <c r="G63" s="284"/>
      <c r="H63" s="284"/>
      <c r="I63" s="284"/>
      <c r="J63" s="284"/>
      <c r="K63" s="659"/>
      <c r="L63" s="127"/>
    </row>
    <row r="64" spans="1:17" ht="15" x14ac:dyDescent="0.25">
      <c r="A64" s="255" t="e">
        <f>EDATE(C4,-1)</f>
        <v>#NUM!</v>
      </c>
      <c r="B64" s="264"/>
      <c r="C64" s="264"/>
      <c r="D64" s="264"/>
      <c r="E64" s="264"/>
      <c r="F64" s="264"/>
      <c r="G64" s="264"/>
      <c r="H64" s="264"/>
      <c r="I64" s="264"/>
      <c r="J64" s="264"/>
      <c r="K64" s="264"/>
      <c r="L64" s="127"/>
    </row>
    <row r="65" spans="1:12" x14ac:dyDescent="0.2">
      <c r="A65" s="276" t="s">
        <v>38</v>
      </c>
      <c r="B65" s="266"/>
      <c r="C65" s="266"/>
      <c r="D65" s="266"/>
      <c r="E65" s="266"/>
      <c r="F65" s="266"/>
      <c r="G65" s="266"/>
      <c r="H65" s="266"/>
      <c r="I65" s="266"/>
      <c r="J65" s="266"/>
      <c r="K65" s="267"/>
      <c r="L65" s="127"/>
    </row>
    <row r="66" spans="1:12" x14ac:dyDescent="0.2">
      <c r="A66" s="268" t="s">
        <v>373</v>
      </c>
      <c r="B66" s="277"/>
      <c r="C66" s="285"/>
      <c r="D66" s="285"/>
      <c r="E66" s="285"/>
      <c r="F66" s="659"/>
      <c r="G66" s="659"/>
      <c r="H66" s="659"/>
      <c r="I66" s="659"/>
      <c r="J66" s="659"/>
      <c r="K66" s="659"/>
      <c r="L66" s="127"/>
    </row>
    <row r="67" spans="1:12" x14ac:dyDescent="0.2">
      <c r="A67" s="272" t="s">
        <v>374</v>
      </c>
      <c r="B67" s="278"/>
      <c r="C67" s="285"/>
      <c r="D67" s="285"/>
      <c r="E67" s="285"/>
      <c r="F67" s="659"/>
      <c r="G67" s="659"/>
      <c r="H67" s="659"/>
      <c r="I67" s="659"/>
      <c r="J67" s="659"/>
      <c r="K67" s="659"/>
      <c r="L67" s="127"/>
    </row>
    <row r="68" spans="1:12" x14ac:dyDescent="0.2">
      <c r="A68" s="286"/>
      <c r="B68" s="285"/>
      <c r="C68" s="285"/>
      <c r="D68" s="285"/>
      <c r="E68" s="285"/>
      <c r="F68" s="659"/>
      <c r="G68" s="659"/>
      <c r="H68" s="659"/>
      <c r="I68" s="659"/>
      <c r="J68" s="659"/>
      <c r="K68" s="659"/>
      <c r="L68" s="127"/>
    </row>
    <row r="69" spans="1:12" x14ac:dyDescent="0.2">
      <c r="A69" s="286"/>
      <c r="B69" s="285"/>
      <c r="C69" s="285"/>
      <c r="D69" s="285"/>
      <c r="E69" s="285"/>
      <c r="F69" s="659"/>
      <c r="G69" s="659"/>
      <c r="H69" s="659"/>
      <c r="I69" s="659"/>
      <c r="J69" s="659"/>
      <c r="K69" s="659"/>
      <c r="L69" s="127"/>
    </row>
    <row r="70" spans="1:12" x14ac:dyDescent="0.2">
      <c r="A70" s="286"/>
      <c r="B70" s="285"/>
      <c r="C70" s="285"/>
      <c r="D70" s="285"/>
      <c r="E70" s="285"/>
      <c r="F70" s="659"/>
      <c r="G70" s="659"/>
      <c r="H70" s="659"/>
      <c r="I70" s="659"/>
      <c r="J70" s="659"/>
      <c r="K70" s="659"/>
      <c r="L70" s="127"/>
    </row>
    <row r="71" spans="1:12" x14ac:dyDescent="0.2">
      <c r="A71" s="286"/>
      <c r="B71" s="285"/>
      <c r="C71" s="285"/>
      <c r="D71" s="285"/>
      <c r="E71" s="285"/>
      <c r="F71" s="659"/>
      <c r="G71" s="659"/>
      <c r="H71" s="659"/>
      <c r="I71" s="659"/>
      <c r="J71" s="659"/>
      <c r="K71" s="659"/>
      <c r="L71" s="127"/>
    </row>
    <row r="72" spans="1:12" x14ac:dyDescent="0.2">
      <c r="A72" s="659"/>
      <c r="B72" s="659"/>
      <c r="C72" s="659"/>
      <c r="D72" s="659"/>
      <c r="E72" s="659"/>
      <c r="F72" s="659"/>
      <c r="G72" s="659"/>
      <c r="H72" s="659"/>
      <c r="I72" s="659"/>
      <c r="J72" s="659"/>
      <c r="K72" s="659"/>
      <c r="L72" s="127"/>
    </row>
    <row r="73" spans="1:12" x14ac:dyDescent="0.2">
      <c r="A73" s="659"/>
      <c r="B73" s="659"/>
      <c r="C73" s="659"/>
      <c r="D73" s="659"/>
      <c r="E73" s="659"/>
      <c r="F73" s="659"/>
      <c r="G73" s="659"/>
      <c r="H73" s="659"/>
      <c r="I73" s="659"/>
      <c r="J73" s="659"/>
      <c r="K73" s="659"/>
      <c r="L73" s="127"/>
    </row>
    <row r="74" spans="1:12" x14ac:dyDescent="0.2">
      <c r="A74" s="659"/>
      <c r="B74" s="659"/>
      <c r="C74" s="659"/>
      <c r="D74" s="659"/>
      <c r="E74" s="659"/>
      <c r="F74" s="659"/>
      <c r="G74" s="659"/>
      <c r="H74" s="659"/>
      <c r="I74" s="659"/>
      <c r="J74" s="659"/>
      <c r="K74" s="659"/>
      <c r="L74" s="127"/>
    </row>
    <row r="75" spans="1:12" x14ac:dyDescent="0.2">
      <c r="A75" s="659"/>
      <c r="B75" s="659"/>
      <c r="C75" s="659"/>
      <c r="D75" s="659"/>
      <c r="E75" s="659"/>
      <c r="F75" s="659"/>
      <c r="G75" s="659"/>
      <c r="H75" s="659"/>
      <c r="I75" s="659"/>
      <c r="J75" s="659"/>
      <c r="K75" s="659"/>
      <c r="L75" s="127"/>
    </row>
    <row r="76" spans="1:12" x14ac:dyDescent="0.2">
      <c r="A76" s="659"/>
      <c r="B76" s="659"/>
      <c r="C76" s="659"/>
      <c r="D76" s="659"/>
      <c r="E76" s="659"/>
      <c r="F76" s="659"/>
      <c r="G76" s="659"/>
      <c r="H76" s="659"/>
      <c r="I76" s="659"/>
      <c r="J76" s="659"/>
      <c r="K76" s="659"/>
      <c r="L76" s="127"/>
    </row>
    <row r="77" spans="1:12" x14ac:dyDescent="0.2">
      <c r="A77" s="659"/>
      <c r="B77" s="659"/>
      <c r="C77" s="659"/>
      <c r="D77" s="659"/>
      <c r="E77" s="659"/>
      <c r="F77" s="659"/>
      <c r="G77" s="659"/>
      <c r="H77" s="659"/>
      <c r="I77" s="659"/>
      <c r="J77" s="659"/>
      <c r="K77" s="659"/>
      <c r="L77" s="127"/>
    </row>
    <row r="78" spans="1:12" x14ac:dyDescent="0.2">
      <c r="A78" s="659"/>
      <c r="B78" s="659"/>
      <c r="C78" s="659"/>
      <c r="D78" s="659"/>
      <c r="E78" s="659"/>
      <c r="F78" s="659"/>
      <c r="G78" s="659"/>
      <c r="H78" s="659"/>
      <c r="I78" s="659"/>
      <c r="J78" s="659"/>
      <c r="K78" s="659"/>
      <c r="L78" s="127"/>
    </row>
    <row r="79" spans="1:12" ht="15" x14ac:dyDescent="0.25">
      <c r="A79" s="249" t="s">
        <v>270</v>
      </c>
      <c r="B79" s="659"/>
      <c r="C79" s="659"/>
      <c r="D79" s="659"/>
      <c r="E79" s="659"/>
      <c r="F79" s="659"/>
      <c r="G79" s="659"/>
      <c r="H79" s="659"/>
      <c r="I79" s="659"/>
      <c r="J79" s="659"/>
      <c r="K79" s="659"/>
      <c r="L79" s="127"/>
    </row>
    <row r="80" spans="1:12" x14ac:dyDescent="0.2">
      <c r="A80" s="659"/>
      <c r="B80" s="659"/>
      <c r="C80" s="659"/>
      <c r="D80" s="659"/>
      <c r="E80" s="659"/>
      <c r="F80" s="659"/>
      <c r="G80" s="659"/>
      <c r="H80" s="659"/>
      <c r="I80" s="659"/>
      <c r="J80" s="659"/>
      <c r="K80" s="659"/>
      <c r="L80" s="127"/>
    </row>
    <row r="81" spans="1:12" x14ac:dyDescent="0.2">
      <c r="A81" s="810" t="s">
        <v>43</v>
      </c>
      <c r="B81" s="810"/>
      <c r="C81" s="810"/>
      <c r="D81" s="810"/>
      <c r="E81" s="810"/>
      <c r="F81" s="287">
        <f>SUM(B14:K15)+SUM(B18:K19)+SUM(B22:K23)+SUM(B26:K27)+SUM(B30:K31)+SUM(B34:K35)+SUM(B44:K45)+SUM(B48:K49)+SUM(B52:K53)+SUM(B56:K57)+SUM(B60:K61)+SUM(B64:K65)+SUM(AS!C115:H115)</f>
        <v>0</v>
      </c>
      <c r="G81" s="659" t="str">
        <f>IF(AS!I115&gt;0,"incl. Unterhalt Kinder"," ")</f>
        <v xml:space="preserve"> </v>
      </c>
      <c r="H81" s="659"/>
      <c r="I81" s="659"/>
      <c r="J81" s="659"/>
      <c r="K81" s="659"/>
      <c r="L81" s="127"/>
    </row>
    <row r="82" spans="1:12" x14ac:dyDescent="0.2">
      <c r="A82" s="810" t="s">
        <v>44</v>
      </c>
      <c r="B82" s="810"/>
      <c r="C82" s="810"/>
      <c r="D82" s="810"/>
      <c r="E82" s="810"/>
      <c r="F82" s="653">
        <v>6</v>
      </c>
      <c r="G82" s="659"/>
      <c r="H82" s="659"/>
      <c r="I82" s="659"/>
      <c r="J82" s="659"/>
      <c r="K82" s="659"/>
      <c r="L82" s="127"/>
    </row>
    <row r="83" spans="1:12" ht="15" x14ac:dyDescent="0.25">
      <c r="A83" s="810" t="s">
        <v>377</v>
      </c>
      <c r="B83" s="810"/>
      <c r="C83" s="810"/>
      <c r="D83" s="810"/>
      <c r="E83" s="810"/>
      <c r="F83" s="289">
        <f>IF(Kurzantrag!B3&gt;0,Kurzantrag!B3,F81/6)</f>
        <v>0</v>
      </c>
      <c r="G83" s="654"/>
      <c r="H83" s="659"/>
      <c r="I83" s="659"/>
      <c r="J83" s="659"/>
      <c r="K83" s="659"/>
      <c r="L83" s="127"/>
    </row>
    <row r="84" spans="1:12" ht="15" x14ac:dyDescent="0.25">
      <c r="A84" s="659"/>
      <c r="B84" s="659"/>
      <c r="C84" s="659"/>
      <c r="D84" s="659"/>
      <c r="E84" s="659"/>
      <c r="F84" s="659"/>
      <c r="G84" s="654"/>
      <c r="H84" s="659"/>
      <c r="I84" s="659"/>
      <c r="J84" s="659"/>
      <c r="K84" s="659"/>
      <c r="L84" s="127"/>
    </row>
    <row r="85" spans="1:12" x14ac:dyDescent="0.2">
      <c r="A85" s="810" t="s">
        <v>45</v>
      </c>
      <c r="B85" s="810"/>
      <c r="C85" s="810"/>
      <c r="D85" s="810"/>
      <c r="E85" s="810"/>
      <c r="F85" s="290" t="str">
        <f>IF(BG!D8="bitte auswählen","-",IF(BG!D8="alleinerziehend",600,900))</f>
        <v>-</v>
      </c>
      <c r="G85" s="659"/>
      <c r="H85" s="659"/>
      <c r="I85" s="659"/>
      <c r="J85" s="659"/>
      <c r="K85" s="659"/>
      <c r="L85" s="127"/>
    </row>
    <row r="86" spans="1:12" x14ac:dyDescent="0.2">
      <c r="A86" s="659"/>
      <c r="B86" s="659"/>
      <c r="C86" s="659"/>
      <c r="D86" s="659"/>
      <c r="E86" s="659"/>
      <c r="F86" s="659"/>
      <c r="G86" s="659"/>
      <c r="H86" s="659"/>
      <c r="I86" s="659"/>
      <c r="J86" s="659"/>
      <c r="K86" s="659"/>
      <c r="L86" s="127"/>
    </row>
    <row r="87" spans="1:12" ht="15" x14ac:dyDescent="0.25">
      <c r="A87" s="659"/>
      <c r="B87" s="814" t="str">
        <f>IF(BG!D8="bitte auswählen"," ",IF(F83&gt;=F85,"Die Mindesteinkommensgrenze wird erreicht.","Die Mindeseinkommensgrenze wird nicht erreicht."))</f>
        <v xml:space="preserve"> </v>
      </c>
      <c r="C87" s="814"/>
      <c r="D87" s="814"/>
      <c r="E87" s="814"/>
      <c r="F87" s="814"/>
      <c r="G87" s="659"/>
      <c r="H87" s="659"/>
      <c r="I87" s="659"/>
      <c r="J87" s="659"/>
      <c r="K87" s="659"/>
      <c r="L87" s="127"/>
    </row>
    <row r="88" spans="1:12" ht="15" x14ac:dyDescent="0.25">
      <c r="A88" s="659"/>
      <c r="B88" s="814" t="str">
        <f>IF(BG!D8="bitte auswählen","Der Familienstand wurde nicht ausgewählt.",IF(F83&gt;=F85,"Der Anspruch ist weiter zu prüfen.",IF(F83&lt;F85,"Es besteht kein Anspruch auf Kinderzuschlag.")))</f>
        <v>Der Familienstand wurde nicht ausgewählt.</v>
      </c>
      <c r="C88" s="814"/>
      <c r="D88" s="814"/>
      <c r="E88" s="814"/>
      <c r="F88" s="814"/>
      <c r="G88" s="660"/>
      <c r="H88" s="659"/>
      <c r="I88" s="659"/>
      <c r="J88" s="659"/>
      <c r="K88" s="659"/>
      <c r="L88" s="127"/>
    </row>
    <row r="89" spans="1:12" x14ac:dyDescent="0.2">
      <c r="A89" s="659"/>
      <c r="B89" s="659"/>
      <c r="C89" s="659"/>
      <c r="D89" s="659"/>
      <c r="E89" s="659"/>
      <c r="F89" s="659"/>
      <c r="G89" s="659"/>
      <c r="H89" s="659"/>
      <c r="I89" s="659"/>
      <c r="J89" s="659"/>
      <c r="K89" s="659"/>
      <c r="L89" s="127"/>
    </row>
  </sheetData>
  <sheetProtection algorithmName="SHA-512" hashValue="dc0mjrqMZSftApGfPwaQRrp38UZTIutjd/xnITQCPZ7L/WD6maCzlnaZI0PEW0xgrBj9lCLWR5v/Mvu2raYBSg==" saltValue="qyLnH/nvhDPhyVhbBzCeWg==" spinCount="100000" sheet="1" formatCells="0" formatColumns="0" formatRows="0" insertColumns="0" insertRows="0" insertHyperlinks="0" deleteColumns="0" deleteRows="0" sort="0" pivotTables="0"/>
  <mergeCells count="12">
    <mergeCell ref="C16:D16"/>
    <mergeCell ref="C17:D17"/>
    <mergeCell ref="B87:F87"/>
    <mergeCell ref="B88:F88"/>
    <mergeCell ref="B41:B43"/>
    <mergeCell ref="C41:C43"/>
    <mergeCell ref="A81:E81"/>
    <mergeCell ref="A82:E82"/>
    <mergeCell ref="A83:E83"/>
    <mergeCell ref="A85:E85"/>
    <mergeCell ref="C46:D46"/>
    <mergeCell ref="C47:D47"/>
  </mergeCells>
  <conditionalFormatting sqref="E39">
    <cfRule type="containsText" dxfId="43" priority="3" operator="containsText" text="entfällt">
      <formula>NOT(ISERROR(SEARCH("entfällt",E39)))</formula>
    </cfRule>
  </conditionalFormatting>
  <conditionalFormatting sqref="B88:F88">
    <cfRule type="containsText" dxfId="42" priority="1" operator="containsText" text="Es besteht kein Anspruch auf Kinderzuschlag.">
      <formula>NOT(ISERROR(SEARCH("Es besteht kein Anspruch auf Kinderzuschlag.",B88)))</formula>
    </cfRule>
    <cfRule type="containsText" dxfId="41" priority="2" operator="containsText" text="Es besteht kein Anspruch auf Kinderzuschlag.">
      <formula>NOT(ISERROR(SEARCH("Es besteht kein Anspruch auf Kinderzuschlag.",B88)))</formula>
    </cfRule>
  </conditionalFormatting>
  <dataValidations count="4">
    <dataValidation type="decimal" allowBlank="1" showInputMessage="1" showErrorMessage="1" error="Der eingegebene Wert ist unzulässig. Bitte geben Sie eine Zahl ein, die größer 0 ist." sqref="B44:B67 B14:B37 C18:D37 F14:F15 C44:K45 C14:D15 G14:G16 F18:K37 C48:K67 G46 H14:K15 E14:E15 E18:E37" xr:uid="{00000000-0002-0000-0300-000000000000}">
      <formula1>0</formula1>
      <formula2>1000000</formula2>
    </dataValidation>
    <dataValidation type="decimal" allowBlank="1" showInputMessage="1" error="Der eingegebene Wert ist unzulässig. Bitte geben Sie eine Zahl ein, die größer 0 ist." sqref="C16:C17 F16 F17:G17 C46:C47 F46:F47 H16:K17 H46:K47 G47" xr:uid="{00000000-0002-0000-0300-000001000000}">
      <formula1>0</formula1>
      <formula2>1000000</formula2>
    </dataValidation>
    <dataValidation type="decimal" allowBlank="1" showInputMessage="1" showErrorMessage="1" error="Der eingegebene Wert ist unzulässig. Bitte geben Sie eine Zahl ein, die größer 0 ist." prompt="Bitte geben Sie das Datum im Format Monat Jahr ein (z.B. Beginn August 2012 = Aug 12)." sqref="E16:E17" xr:uid="{00000000-0002-0000-0300-000002000000}">
      <formula1>0</formula1>
      <formula2>1000000</formula2>
    </dataValidation>
    <dataValidation type="decimal" allowBlank="1" showInputMessage="1" error="Der eingegebene Wert ist unzulässig. Bitte geben Sie eine Zahl ein, die größer 0 ist." prompt="Bitte geben Sie das Datum im Format Monat Jahr ein (z.B. Beginn August 2012 = Aug 12)." sqref="E46:E47" xr:uid="{00000000-0002-0000-0300-000003000000}">
      <formula1>0</formula1>
      <formula2>1000000</formula2>
    </dataValidation>
  </dataValidations>
  <pageMargins left="0.70866141732283472" right="0.70866141732283472" top="0.8666666666666667" bottom="0.78740157480314965" header="0.31496062992125984" footer="0.31496062992125984"/>
  <pageSetup paperSize="9" scale="89" fitToWidth="2" orientation="landscape" r:id="rId1"/>
  <headerFooter>
    <oddHeader>&amp;L&amp;"Arial,Fett"&amp;U1. Prüfung der Mindesteinkommensgrenze unter Berücksichtigung des Bruttoeinkommens:
&amp;R&amp;D</oddHeader>
    <oddFooter>&amp;R&amp;P</oddFooter>
  </headerFooter>
  <rowBreaks count="2" manualBreakCount="2">
    <brk id="37" max="16383" man="1"/>
    <brk id="67"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K130"/>
  <sheetViews>
    <sheetView showGridLines="0" zoomScaleNormal="100" workbookViewId="0">
      <selection activeCell="C27" sqref="C27"/>
    </sheetView>
  </sheetViews>
  <sheetFormatPr baseColWidth="10" defaultRowHeight="14.25" x14ac:dyDescent="0.2"/>
  <cols>
    <col min="1" max="16384" width="11" style="1"/>
  </cols>
  <sheetData>
    <row r="1" spans="1:10" ht="15" x14ac:dyDescent="0.25">
      <c r="A1" s="249"/>
      <c r="B1" s="239"/>
      <c r="C1" s="914" t="s">
        <v>46</v>
      </c>
      <c r="D1" s="914"/>
      <c r="E1" s="914"/>
      <c r="F1" s="914"/>
      <c r="G1" s="914"/>
      <c r="H1" s="914"/>
      <c r="I1" s="239"/>
      <c r="J1" s="239"/>
    </row>
    <row r="2" spans="1:10" ht="15" x14ac:dyDescent="0.25">
      <c r="A2" s="915" t="s">
        <v>29</v>
      </c>
      <c r="B2" s="915"/>
      <c r="C2" s="255" t="e">
        <f>EDATE(BG!D2,-6)</f>
        <v>#NUM!</v>
      </c>
      <c r="D2" s="255" t="e">
        <f>EDATE(BG!D2,-5)</f>
        <v>#NUM!</v>
      </c>
      <c r="E2" s="255" t="e">
        <f>EDATE(BG!D2,-4)</f>
        <v>#NUM!</v>
      </c>
      <c r="F2" s="255" t="e">
        <f>EDATE(BG!D2,-3)</f>
        <v>#NUM!</v>
      </c>
      <c r="G2" s="255" t="e">
        <f>EDATE(BG!D2,-2)</f>
        <v>#NUM!</v>
      </c>
      <c r="H2" s="255" t="e">
        <f>EDATE(BG!D2,-1)</f>
        <v>#NUM!</v>
      </c>
      <c r="I2" s="126"/>
      <c r="J2" s="126"/>
    </row>
    <row r="3" spans="1:10" x14ac:dyDescent="0.2">
      <c r="A3" s="941" t="s">
        <v>596</v>
      </c>
      <c r="B3" s="941"/>
      <c r="C3" s="244" t="s">
        <v>185</v>
      </c>
      <c r="D3" s="244" t="s">
        <v>185</v>
      </c>
      <c r="E3" s="244" t="s">
        <v>185</v>
      </c>
      <c r="F3" s="244" t="s">
        <v>185</v>
      </c>
      <c r="G3" s="244" t="s">
        <v>185</v>
      </c>
      <c r="H3" s="244" t="s">
        <v>185</v>
      </c>
      <c r="I3" s="940"/>
      <c r="J3" s="940"/>
    </row>
    <row r="4" spans="1:10" x14ac:dyDescent="0.2">
      <c r="A4" s="916" t="s">
        <v>47</v>
      </c>
      <c r="B4" s="916"/>
      <c r="C4" s="293">
        <f>MEG!B14-MEG!B16</f>
        <v>0</v>
      </c>
      <c r="D4" s="293">
        <f>MEG!B18-MEG!B20</f>
        <v>0</v>
      </c>
      <c r="E4" s="293">
        <f>MEG!B22-MEG!B24</f>
        <v>0</v>
      </c>
      <c r="F4" s="293">
        <f>MEG!B26-MEG!B28</f>
        <v>0</v>
      </c>
      <c r="G4" s="293">
        <f>MEG!B30-MEG!B32</f>
        <v>0</v>
      </c>
      <c r="H4" s="293">
        <f>MEG!B34-MEG!B36</f>
        <v>0</v>
      </c>
      <c r="I4" s="83" t="e">
        <f>SUM(C4:H4)/6+H13</f>
        <v>#NUM!</v>
      </c>
      <c r="J4" s="83"/>
    </row>
    <row r="5" spans="1:10" x14ac:dyDescent="0.2">
      <c r="A5" s="917" t="s">
        <v>38</v>
      </c>
      <c r="B5" s="917"/>
      <c r="C5" s="295">
        <f>MEG!B15-MEG!B17</f>
        <v>0</v>
      </c>
      <c r="D5" s="295">
        <f>MEG!B19-MEG!B21</f>
        <v>0</v>
      </c>
      <c r="E5" s="295">
        <f>MEG!B23-MEG!B25</f>
        <v>0</v>
      </c>
      <c r="F5" s="295">
        <f>MEG!B27-MEG!B29</f>
        <v>0</v>
      </c>
      <c r="G5" s="295">
        <f>MEG!B31-MEG!B33</f>
        <v>0</v>
      </c>
      <c r="H5" s="295">
        <f>MEG!B35-MEG!B37</f>
        <v>0</v>
      </c>
      <c r="I5" s="83"/>
      <c r="J5" s="83"/>
    </row>
    <row r="6" spans="1:10" x14ac:dyDescent="0.2">
      <c r="A6" s="919" t="s">
        <v>242</v>
      </c>
      <c r="B6" s="920"/>
      <c r="C6" s="242"/>
      <c r="D6" s="242"/>
      <c r="E6" s="242"/>
      <c r="F6" s="242"/>
      <c r="G6" s="242"/>
      <c r="H6" s="242"/>
      <c r="I6" s="81"/>
      <c r="J6" s="81"/>
    </row>
    <row r="7" spans="1:10" x14ac:dyDescent="0.2">
      <c r="A7" s="918" t="s">
        <v>243</v>
      </c>
      <c r="B7" s="918"/>
      <c r="C7" s="296">
        <f>MEG!C14+MEG!C15</f>
        <v>0</v>
      </c>
      <c r="D7" s="296">
        <f>MEG!C18+MEG!C19</f>
        <v>0</v>
      </c>
      <c r="E7" s="296">
        <f>MEG!C22+MEG!C23</f>
        <v>0</v>
      </c>
      <c r="F7" s="296">
        <f>MEG!C26+MEG!C27</f>
        <v>0</v>
      </c>
      <c r="G7" s="296">
        <f>MEG!C30+MEG!C31</f>
        <v>0</v>
      </c>
      <c r="H7" s="296">
        <f>MEG!C34+MEG!C35</f>
        <v>0</v>
      </c>
      <c r="I7" s="83"/>
      <c r="J7" s="83"/>
    </row>
    <row r="8" spans="1:10" s="178" customFormat="1" x14ac:dyDescent="0.2">
      <c r="A8" s="239"/>
      <c r="B8" s="239"/>
      <c r="C8" s="239"/>
      <c r="D8" s="84"/>
      <c r="E8" s="142" t="s">
        <v>48</v>
      </c>
      <c r="F8" s="83">
        <f>SUM(C7:H7)</f>
        <v>0</v>
      </c>
      <c r="G8" s="81" t="s">
        <v>49</v>
      </c>
      <c r="H8" s="83" t="e">
        <f>ROUND((F8/MEG!H16),2)</f>
        <v>#NUM!</v>
      </c>
      <c r="I8" s="81" t="s">
        <v>431</v>
      </c>
      <c r="J8" s="81"/>
    </row>
    <row r="9" spans="1:10" x14ac:dyDescent="0.2">
      <c r="A9" s="921" t="s">
        <v>50</v>
      </c>
      <c r="B9" s="922"/>
      <c r="C9" s="297"/>
      <c r="D9" s="297"/>
      <c r="E9" s="297"/>
      <c r="F9" s="297"/>
      <c r="G9" s="297"/>
      <c r="H9" s="297"/>
      <c r="I9" s="179">
        <f>MEG!E16</f>
        <v>0</v>
      </c>
      <c r="J9" s="83"/>
    </row>
    <row r="10" spans="1:10" x14ac:dyDescent="0.2">
      <c r="A10" s="923" t="s">
        <v>51</v>
      </c>
      <c r="B10" s="924"/>
      <c r="C10" s="298"/>
      <c r="D10" s="298"/>
      <c r="E10" s="298"/>
      <c r="F10" s="298"/>
      <c r="G10" s="298"/>
      <c r="H10" s="298"/>
      <c r="I10" s="83" t="s">
        <v>432</v>
      </c>
      <c r="J10" s="83"/>
    </row>
    <row r="11" spans="1:10" x14ac:dyDescent="0.2">
      <c r="A11" s="241"/>
      <c r="B11" s="299"/>
      <c r="C11" s="301"/>
      <c r="D11" s="301"/>
      <c r="E11" s="301"/>
      <c r="F11" s="301"/>
      <c r="G11" s="301"/>
      <c r="H11" s="301"/>
      <c r="I11" s="179" t="e">
        <f>IF(MEG!E17=ISBLANK(0),H2+1,MEG!E17)</f>
        <v>#NUM!</v>
      </c>
      <c r="J11" s="81"/>
    </row>
    <row r="12" spans="1:10" x14ac:dyDescent="0.2">
      <c r="A12" s="908" t="s">
        <v>52</v>
      </c>
      <c r="B12" s="908"/>
      <c r="C12" s="301"/>
      <c r="D12" s="301"/>
      <c r="E12" s="301"/>
      <c r="F12" s="301"/>
      <c r="G12" s="301"/>
      <c r="H12" s="301"/>
      <c r="I12" s="354"/>
      <c r="J12" s="354"/>
    </row>
    <row r="13" spans="1:10" s="178" customFormat="1" x14ac:dyDescent="0.2">
      <c r="A13" s="239"/>
      <c r="B13" s="601"/>
      <c r="C13" s="142" t="s">
        <v>48</v>
      </c>
      <c r="D13" s="83">
        <f>SUM(C12:H12,C11:H11)</f>
        <v>0</v>
      </c>
      <c r="E13" s="81" t="s">
        <v>49</v>
      </c>
      <c r="F13" s="83" t="e">
        <f>ROUND((D13/MEG!H16),2)</f>
        <v>#NUM!</v>
      </c>
      <c r="G13" s="90" t="s">
        <v>53</v>
      </c>
      <c r="H13" s="91" t="e">
        <f>IF((H8-F13)&lt;0,0,(H8-F13))</f>
        <v>#NUM!</v>
      </c>
      <c r="I13" s="202" t="e">
        <f>IF(I9&gt;C2,0,IF(I11&lt;C2,0,H13))</f>
        <v>#NUM!</v>
      </c>
      <c r="J13" s="202"/>
    </row>
    <row r="14" spans="1:10" x14ac:dyDescent="0.2">
      <c r="A14" s="925" t="s">
        <v>54</v>
      </c>
      <c r="B14" s="925"/>
      <c r="C14" s="302">
        <f>SUM(C17,(C15*ROUND(C16,0)*0.2))</f>
        <v>0</v>
      </c>
      <c r="D14" s="302">
        <f>SUM(D17,(D15*(ROUND(D16,0))*0.2))</f>
        <v>0</v>
      </c>
      <c r="E14" s="302">
        <f>SUM(E17,(E15*(ROUND(E16,0))*0.2))</f>
        <v>0</v>
      </c>
      <c r="F14" s="302">
        <f>SUM(F17,(F15*ROUND(F16,0)*0.2))</f>
        <v>0</v>
      </c>
      <c r="G14" s="302">
        <f>SUM(G17,(G15*ROUND(G16,0)*0.2))</f>
        <v>0</v>
      </c>
      <c r="H14" s="302">
        <f>SUM(H17,(H15*ROUND(H16,0)*0.2))</f>
        <v>0</v>
      </c>
      <c r="I14" s="202" t="e">
        <f>IF(I9&gt;D2,0,IF(I11&lt;D2,0,H13))</f>
        <v>#NUM!</v>
      </c>
      <c r="J14" s="202"/>
    </row>
    <row r="15" spans="1:10" x14ac:dyDescent="0.2">
      <c r="A15" s="927" t="s">
        <v>234</v>
      </c>
      <c r="B15" s="928"/>
      <c r="C15" s="303"/>
      <c r="D15" s="303"/>
      <c r="E15" s="303"/>
      <c r="F15" s="303"/>
      <c r="G15" s="303"/>
      <c r="H15" s="303"/>
      <c r="I15" s="202" t="e">
        <f>IF(I9&gt;E2,0,IF(I11&lt;E2,0,H13))</f>
        <v>#NUM!</v>
      </c>
      <c r="J15" s="202"/>
    </row>
    <row r="16" spans="1:10" x14ac:dyDescent="0.2">
      <c r="A16" s="927" t="s">
        <v>235</v>
      </c>
      <c r="B16" s="928"/>
      <c r="C16" s="303"/>
      <c r="D16" s="303"/>
      <c r="E16" s="303"/>
      <c r="F16" s="303"/>
      <c r="G16" s="303"/>
      <c r="H16" s="303"/>
      <c r="I16" s="202" t="e">
        <f>IF(I9&gt;F2,0,IF(I11&lt;F2,0,H13))</f>
        <v>#NUM!</v>
      </c>
      <c r="J16" s="202"/>
    </row>
    <row r="17" spans="1:11" x14ac:dyDescent="0.2">
      <c r="A17" s="929" t="s">
        <v>237</v>
      </c>
      <c r="B17" s="930"/>
      <c r="C17" s="304"/>
      <c r="D17" s="304"/>
      <c r="E17" s="304"/>
      <c r="F17" s="304"/>
      <c r="G17" s="304"/>
      <c r="H17" s="304"/>
      <c r="I17" s="202" t="e">
        <f>IF(I9&gt;G2,0,IF(I11&lt;G2,0,H13))</f>
        <v>#NUM!</v>
      </c>
      <c r="J17" s="202"/>
    </row>
    <row r="18" spans="1:11" x14ac:dyDescent="0.2">
      <c r="A18" s="926" t="s">
        <v>55</v>
      </c>
      <c r="B18" s="926"/>
      <c r="C18" s="305">
        <f t="shared" ref="C18:H18" si="0">C19*C20</f>
        <v>0</v>
      </c>
      <c r="D18" s="305">
        <f t="shared" si="0"/>
        <v>0</v>
      </c>
      <c r="E18" s="305">
        <f t="shared" si="0"/>
        <v>0</v>
      </c>
      <c r="F18" s="305">
        <f t="shared" si="0"/>
        <v>0</v>
      </c>
      <c r="G18" s="305">
        <f t="shared" si="0"/>
        <v>0</v>
      </c>
      <c r="H18" s="305">
        <f t="shared" si="0"/>
        <v>0</v>
      </c>
      <c r="I18" s="202" t="e">
        <f>IF(I9&gt;H2,0,IF(I11&lt;H2,0,H13))</f>
        <v>#NUM!</v>
      </c>
      <c r="J18" s="202"/>
    </row>
    <row r="19" spans="1:11" x14ac:dyDescent="0.2">
      <c r="A19" s="898" t="s">
        <v>238</v>
      </c>
      <c r="B19" s="899"/>
      <c r="C19" s="303"/>
      <c r="D19" s="303"/>
      <c r="E19" s="303"/>
      <c r="F19" s="303"/>
      <c r="G19" s="303"/>
      <c r="H19" s="303"/>
      <c r="I19" s="355"/>
      <c r="J19" s="355"/>
    </row>
    <row r="20" spans="1:11" x14ac:dyDescent="0.2">
      <c r="A20" s="942" t="s">
        <v>239</v>
      </c>
      <c r="B20" s="943"/>
      <c r="C20" s="306"/>
      <c r="D20" s="306"/>
      <c r="E20" s="306"/>
      <c r="F20" s="306"/>
      <c r="G20" s="306"/>
      <c r="H20" s="306"/>
      <c r="I20" s="355"/>
      <c r="J20" s="355"/>
    </row>
    <row r="21" spans="1:11" x14ac:dyDescent="0.2">
      <c r="A21" s="937" t="s">
        <v>236</v>
      </c>
      <c r="B21" s="938"/>
      <c r="C21" s="307"/>
      <c r="D21" s="307"/>
      <c r="E21" s="307"/>
      <c r="F21" s="307"/>
      <c r="G21" s="307"/>
      <c r="H21" s="307"/>
      <c r="I21" s="355"/>
      <c r="J21" s="83"/>
    </row>
    <row r="22" spans="1:11" x14ac:dyDescent="0.2">
      <c r="A22" s="903" t="s">
        <v>56</v>
      </c>
      <c r="B22" s="903"/>
      <c r="C22" s="307"/>
      <c r="D22" s="307"/>
      <c r="E22" s="307"/>
      <c r="F22" s="307"/>
      <c r="G22" s="307"/>
      <c r="H22" s="307"/>
      <c r="I22" s="355"/>
      <c r="J22" s="83"/>
    </row>
    <row r="23" spans="1:11" x14ac:dyDescent="0.2">
      <c r="A23" s="903" t="s">
        <v>57</v>
      </c>
      <c r="B23" s="903"/>
      <c r="C23" s="307"/>
      <c r="D23" s="307"/>
      <c r="E23" s="307"/>
      <c r="F23" s="307"/>
      <c r="G23" s="307"/>
      <c r="H23" s="307"/>
      <c r="I23" s="355"/>
      <c r="J23" s="83"/>
    </row>
    <row r="24" spans="1:11" x14ac:dyDescent="0.2">
      <c r="A24" s="903" t="s">
        <v>58</v>
      </c>
      <c r="B24" s="903"/>
      <c r="C24" s="308"/>
      <c r="D24" s="308"/>
      <c r="E24" s="308"/>
      <c r="F24" s="308"/>
      <c r="G24" s="308"/>
      <c r="H24" s="308"/>
      <c r="I24" s="355"/>
      <c r="J24" s="83"/>
    </row>
    <row r="25" spans="1:11" s="178" customFormat="1" x14ac:dyDescent="0.2">
      <c r="A25" s="239"/>
      <c r="B25" s="239"/>
      <c r="C25" s="93" t="e">
        <f>C4+I13</f>
        <v>#NUM!</v>
      </c>
      <c r="D25" s="93" t="e">
        <f>D4+I14</f>
        <v>#NUM!</v>
      </c>
      <c r="E25" s="93" t="e">
        <f>E4+I15</f>
        <v>#NUM!</v>
      </c>
      <c r="F25" s="93" t="e">
        <f>F4+I16</f>
        <v>#NUM!</v>
      </c>
      <c r="G25" s="93" t="e">
        <f>G4+I17</f>
        <v>#NUM!</v>
      </c>
      <c r="H25" s="93" t="e">
        <f>H4+I18</f>
        <v>#NUM!</v>
      </c>
      <c r="I25" s="84"/>
      <c r="J25" s="84"/>
    </row>
    <row r="26" spans="1:11" x14ac:dyDescent="0.2">
      <c r="A26" s="903" t="s">
        <v>59</v>
      </c>
      <c r="B26" s="903"/>
      <c r="C26" s="287" t="e">
        <f>IF(C3="ja",Grundfreibeträge!L5,Grundfreibeträge!K5)</f>
        <v>#NUM!</v>
      </c>
      <c r="D26" s="287" t="e">
        <f>IF(D3="ja",Grundfreibeträge!L6,Grundfreibeträge!K6)</f>
        <v>#NUM!</v>
      </c>
      <c r="E26" s="287" t="e">
        <f>IF(E3="ja",Grundfreibeträge!L7,Grundfreibeträge!K7)</f>
        <v>#NUM!</v>
      </c>
      <c r="F26" s="287" t="e">
        <f>IF(F3="ja",Grundfreibeträge!L8,Grundfreibeträge!K8)</f>
        <v>#NUM!</v>
      </c>
      <c r="G26" s="287" t="e">
        <f>IF(G3="ja",Grundfreibeträge!L9,Grundfreibeträge!K9)</f>
        <v>#NUM!</v>
      </c>
      <c r="H26" s="310" t="e">
        <f>IF(H3="ja",Grundfreibeträge!L10,Grundfreibeträge!K10)</f>
        <v>#NUM!</v>
      </c>
      <c r="I26" s="356" t="e">
        <f>IF(I4&gt;=100,SUM(C26:H29)/6,I4)</f>
        <v>#NUM!</v>
      </c>
      <c r="J26" s="84"/>
      <c r="K26" s="777"/>
    </row>
    <row r="27" spans="1:11" x14ac:dyDescent="0.2">
      <c r="A27" s="937" t="s">
        <v>597</v>
      </c>
      <c r="B27" s="938"/>
      <c r="C27" s="287" t="e">
        <f>MAX((MIN(C25,520)-C26)*0.2,0)</f>
        <v>#NUM!</v>
      </c>
      <c r="D27" s="287" t="e">
        <f t="shared" ref="D27:H27" si="1">MAX((MIN(D25,520)-D26)*0.2,0)</f>
        <v>#NUM!</v>
      </c>
      <c r="E27" s="287" t="e">
        <f t="shared" si="1"/>
        <v>#NUM!</v>
      </c>
      <c r="F27" s="287" t="e">
        <f t="shared" si="1"/>
        <v>#NUM!</v>
      </c>
      <c r="G27" s="287" t="e">
        <f t="shared" si="1"/>
        <v>#NUM!</v>
      </c>
      <c r="H27" s="287" t="e">
        <f t="shared" si="1"/>
        <v>#NUM!</v>
      </c>
      <c r="I27" s="83"/>
      <c r="J27" s="84"/>
    </row>
    <row r="28" spans="1:11" x14ac:dyDescent="0.2">
      <c r="A28" s="903" t="s">
        <v>60</v>
      </c>
      <c r="B28" s="903"/>
      <c r="C28" s="287" t="e">
        <f>MAX(MIN(C25-520,480)*0.3,0)</f>
        <v>#NUM!</v>
      </c>
      <c r="D28" s="287" t="e">
        <f>MAX(MIN(D25-520,480)*0.3,0)</f>
        <v>#NUM!</v>
      </c>
      <c r="E28" s="287" t="e">
        <f t="shared" ref="E28:H28" si="2">MAX(MIN(E25-520,480)*0.3,0)</f>
        <v>#NUM!</v>
      </c>
      <c r="F28" s="287" t="e">
        <f t="shared" si="2"/>
        <v>#NUM!</v>
      </c>
      <c r="G28" s="287" t="e">
        <f t="shared" si="2"/>
        <v>#NUM!</v>
      </c>
      <c r="H28" s="287" t="e">
        <f t="shared" si="2"/>
        <v>#NUM!</v>
      </c>
      <c r="I28" s="84"/>
      <c r="J28" s="84"/>
    </row>
    <row r="29" spans="1:11" x14ac:dyDescent="0.2">
      <c r="A29" s="903" t="s">
        <v>61</v>
      </c>
      <c r="B29" s="903"/>
      <c r="C29" s="287" t="e">
        <f>IF(Grundfreibeträge!Q6="Kind ü18",Grundfreibeträge!M5,IF(C25&lt;1000,0,IF(C25&gt;=1500,50,ROUND((C25-1000)*10%,2))))</f>
        <v>#NUM!</v>
      </c>
      <c r="D29" s="287" t="e">
        <f>IF(Grundfreibeträge!Q6="Kind ü18",Grundfreibeträge!M6,IF(D25&lt;1000,0,IF(D25&gt;=1500,50,ROUND((D25-1000)*10%,2))))</f>
        <v>#NUM!</v>
      </c>
      <c r="E29" s="287" t="e">
        <f>IF(Grundfreibeträge!Q6="Kind ü18",Grundfreibeträge!M7,IF(E25&lt;1000,0,IF(E25&gt;=1500,50,ROUND((E25-1000)*10%,2))))</f>
        <v>#NUM!</v>
      </c>
      <c r="F29" s="287" t="e">
        <f>IF(Grundfreibeträge!Q6="Kind ü18",Grundfreibeträge!M8,IF(F25&lt;1000,0,IF(F25&gt;=1500,50,ROUND((F25-1000)*10%,2))))</f>
        <v>#NUM!</v>
      </c>
      <c r="G29" s="287" t="e">
        <f>IF(Grundfreibeträge!Q6="Kind ü18",Grundfreibeträge!M9,IF(G25&lt;1000,0,IF(G25&gt;=1500,50,ROUND((G25-1000)*10%,2))))</f>
        <v>#NUM!</v>
      </c>
      <c r="H29" s="287" t="e">
        <f>IF(Grundfreibeträge!Q6="Kind ü18",Grundfreibeträge!M10,IF(H25&lt;1000,0,IF(H25&gt;=1500,50,ROUND((H25-1000)*10%,2))))</f>
        <v>#NUM!</v>
      </c>
      <c r="I29" s="599" t="s">
        <v>48</v>
      </c>
      <c r="J29" s="239"/>
    </row>
    <row r="30" spans="1:11" x14ac:dyDescent="0.2">
      <c r="A30" s="903" t="s">
        <v>62</v>
      </c>
      <c r="B30" s="903"/>
      <c r="C30" s="287" t="e">
        <f>IF(C25=0,0,MAX(C25-C9-C26-C27-C28-C29,0))</f>
        <v>#NUM!</v>
      </c>
      <c r="D30" s="287" t="e">
        <f t="shared" ref="D30:H30" si="3">IF(D25=0,0,MAX(D25-D9-D26-D27-D28-D29,0))</f>
        <v>#NUM!</v>
      </c>
      <c r="E30" s="287" t="e">
        <f t="shared" si="3"/>
        <v>#NUM!</v>
      </c>
      <c r="F30" s="287" t="e">
        <f t="shared" si="3"/>
        <v>#NUM!</v>
      </c>
      <c r="G30" s="287" t="e">
        <f t="shared" si="3"/>
        <v>#NUM!</v>
      </c>
      <c r="H30" s="287" t="e">
        <f t="shared" si="3"/>
        <v>#NUM!</v>
      </c>
      <c r="I30" s="287" t="e">
        <f>SUM(C30:H30)</f>
        <v>#NUM!</v>
      </c>
      <c r="J30" s="239"/>
    </row>
    <row r="31" spans="1:11" s="178" customFormat="1" x14ac:dyDescent="0.2">
      <c r="A31" s="239"/>
      <c r="B31" s="312"/>
      <c r="C31" s="83" t="e">
        <f>C4+C5+I13</f>
        <v>#NUM!</v>
      </c>
      <c r="D31" s="83" t="e">
        <f>D4+D5+I14</f>
        <v>#NUM!</v>
      </c>
      <c r="E31" s="83" t="e">
        <f>E4+E5+I15</f>
        <v>#NUM!</v>
      </c>
      <c r="F31" s="83" t="e">
        <f>F4+F5+I16</f>
        <v>#NUM!</v>
      </c>
      <c r="G31" s="83" t="e">
        <f>G4+G5+I17</f>
        <v>#NUM!</v>
      </c>
      <c r="H31" s="83" t="e">
        <f>H4+H5+I18</f>
        <v>#NUM!</v>
      </c>
      <c r="I31" s="294"/>
      <c r="J31" s="239"/>
    </row>
    <row r="32" spans="1:11" s="178" customFormat="1" ht="15" x14ac:dyDescent="0.25">
      <c r="A32" s="239"/>
      <c r="B32" s="239"/>
      <c r="C32" s="83" t="e">
        <f t="shared" ref="C32:H32" si="4">IF(C31=0,0,IF(C31&lt;=100,0,IF(C31&lt;=1000,(C31-100)*20%,IF(C31&gt;1000,180))))</f>
        <v>#NUM!</v>
      </c>
      <c r="D32" s="83" t="e">
        <f t="shared" si="4"/>
        <v>#NUM!</v>
      </c>
      <c r="E32" s="83" t="e">
        <f t="shared" si="4"/>
        <v>#NUM!</v>
      </c>
      <c r="F32" s="83" t="e">
        <f t="shared" si="4"/>
        <v>#NUM!</v>
      </c>
      <c r="G32" s="83" t="e">
        <f t="shared" si="4"/>
        <v>#NUM!</v>
      </c>
      <c r="H32" s="83" t="e">
        <f t="shared" si="4"/>
        <v>#NUM!</v>
      </c>
      <c r="I32" s="313"/>
      <c r="J32" s="239"/>
    </row>
    <row r="33" spans="1:10" s="178" customFormat="1" ht="15" x14ac:dyDescent="0.25">
      <c r="A33" s="909" t="s">
        <v>63</v>
      </c>
      <c r="B33" s="909"/>
      <c r="C33" s="97" t="e">
        <f t="shared" ref="C33:H33" si="5">IF(C31&lt;1000,0,IF(C31&gt;=1500,50,ROUND((C31-1000)*10%,2)))</f>
        <v>#NUM!</v>
      </c>
      <c r="D33" s="97" t="e">
        <f t="shared" si="5"/>
        <v>#NUM!</v>
      </c>
      <c r="E33" s="97" t="e">
        <f t="shared" si="5"/>
        <v>#NUM!</v>
      </c>
      <c r="F33" s="97" t="e">
        <f t="shared" si="5"/>
        <v>#NUM!</v>
      </c>
      <c r="G33" s="97" t="e">
        <f t="shared" si="5"/>
        <v>#NUM!</v>
      </c>
      <c r="H33" s="97" t="e">
        <f t="shared" si="5"/>
        <v>#NUM!</v>
      </c>
      <c r="I33" s="313"/>
      <c r="J33" s="239"/>
    </row>
    <row r="34" spans="1:10" x14ac:dyDescent="0.2">
      <c r="A34" s="908" t="s">
        <v>64</v>
      </c>
      <c r="B34" s="908"/>
      <c r="C34" s="296">
        <f t="shared" ref="C34:H34" si="6">IF(C5=0,0,(C32+C33)-(C28+C29))</f>
        <v>0</v>
      </c>
      <c r="D34" s="296">
        <f t="shared" si="6"/>
        <v>0</v>
      </c>
      <c r="E34" s="296">
        <f t="shared" si="6"/>
        <v>0</v>
      </c>
      <c r="F34" s="296">
        <f t="shared" si="6"/>
        <v>0</v>
      </c>
      <c r="G34" s="296">
        <f t="shared" si="6"/>
        <v>0</v>
      </c>
      <c r="H34" s="296">
        <f t="shared" si="6"/>
        <v>0</v>
      </c>
      <c r="I34" s="600" t="s">
        <v>48</v>
      </c>
      <c r="J34" s="239"/>
    </row>
    <row r="35" spans="1:10" x14ac:dyDescent="0.2">
      <c r="A35" s="810" t="s">
        <v>65</v>
      </c>
      <c r="B35" s="810"/>
      <c r="C35" s="287">
        <f>IF(C5=0,0,IF(AND(C4&gt;0,C5&gt;0,I13&gt;0),C5-C10-C34,IF(AND(C4&gt;0,C5&gt;0),C5-C10-C34,IF(C5-C10-C34-C26&lt;0,0,C5-C10-C34-C26))))</f>
        <v>0</v>
      </c>
      <c r="D35" s="287">
        <f>IF(D5=0,0,IF(AND(D4&gt;0,D5&gt;0,I14&gt;0),D5-D10-D34,IF(AND(D4&gt;0,D5&gt;0),D5-D10-D34,IF(D5-D10-D34-D26&lt;0,0,D5-D10-D34-D26))))</f>
        <v>0</v>
      </c>
      <c r="E35" s="287">
        <f>IF(E5=0,0,IF(AND(E4&gt;0,E5&gt;0,I15&gt;0),E5-E10-E34,IF(AND(E4&gt;0,E5&gt;0),E5-E10-E34,IF(E5-E10-E34-E26&lt;0,0,E5-E10-E34-E26))))</f>
        <v>0</v>
      </c>
      <c r="F35" s="287">
        <f>IF(F5=0,0,IF(AND(F4&gt;0,F5&gt;0,I16&gt;0),F5-F10-F34,IF(AND(F4&gt;0,F5&gt;0),F5-F10-F34,IF(F5-F10-F34-F26&lt;0,0,F5-F10-F34-F26))))</f>
        <v>0</v>
      </c>
      <c r="G35" s="287">
        <f>IF(G5=0,0,IF(AND(G4&gt;0,G5&gt;0,I17&gt;0),G5-G10-G34,IF(AND(G4&gt;0,G5&gt;0),G5-G10-G34,IF(G5-G10-G34-G26&lt;0,0,G5-G10-G34-G26))))</f>
        <v>0</v>
      </c>
      <c r="H35" s="287">
        <f>IF(H5=0,0,IF(AND(H4&gt;0,H5&gt;0,I18&gt;0),H5-H10-H34,IF(AND(H4&gt;0,H5&gt;0),H5-H10-H34,IF(H5-H10-H34-H26&lt;0,0,H5-H10-H34-H26))))</f>
        <v>0</v>
      </c>
      <c r="I35" s="287">
        <f>SUM(C35:H35)</f>
        <v>0</v>
      </c>
      <c r="J35" s="239"/>
    </row>
    <row r="36" spans="1:10" ht="15" x14ac:dyDescent="0.25">
      <c r="A36" s="313"/>
      <c r="B36" s="240"/>
      <c r="C36" s="914" t="s">
        <v>251</v>
      </c>
      <c r="D36" s="914"/>
      <c r="E36" s="914"/>
      <c r="F36" s="914"/>
      <c r="G36" s="914"/>
      <c r="H36" s="914"/>
      <c r="I36" s="239"/>
      <c r="J36" s="239"/>
    </row>
    <row r="37" spans="1:10" ht="15" x14ac:dyDescent="0.25">
      <c r="A37" s="931" t="s">
        <v>29</v>
      </c>
      <c r="B37" s="932"/>
      <c r="C37" s="255" t="e">
        <f>EDATE(BG!D2,-6)</f>
        <v>#NUM!</v>
      </c>
      <c r="D37" s="255" t="e">
        <f>EDATE(BG!D2,-5)</f>
        <v>#NUM!</v>
      </c>
      <c r="E37" s="255" t="e">
        <f>EDATE(BG!D2,-4)</f>
        <v>#NUM!</v>
      </c>
      <c r="F37" s="255" t="e">
        <f>EDATE(BG!D2,-3)</f>
        <v>#NUM!</v>
      </c>
      <c r="G37" s="255" t="e">
        <f>EDATE(BG!D2,-2)</f>
        <v>#NUM!</v>
      </c>
      <c r="H37" s="255" t="e">
        <f>EDATE(BG!D2,-1)</f>
        <v>#NUM!</v>
      </c>
      <c r="I37" s="292"/>
      <c r="J37" s="292"/>
    </row>
    <row r="38" spans="1:10" x14ac:dyDescent="0.2">
      <c r="A38" s="892" t="s">
        <v>66</v>
      </c>
      <c r="B38" s="893"/>
      <c r="C38" s="315">
        <f>MEG!D14</f>
        <v>0</v>
      </c>
      <c r="D38" s="315">
        <f>MEG!D18</f>
        <v>0</v>
      </c>
      <c r="E38" s="315">
        <f>MEG!D22</f>
        <v>0</v>
      </c>
      <c r="F38" s="315">
        <f>MEG!D26</f>
        <v>0</v>
      </c>
      <c r="G38" s="315">
        <f>MEG!D30</f>
        <v>0</v>
      </c>
      <c r="H38" s="315">
        <f>MEG!D34</f>
        <v>0</v>
      </c>
      <c r="I38" s="294"/>
      <c r="J38" s="294"/>
    </row>
    <row r="39" spans="1:10" x14ac:dyDescent="0.2">
      <c r="A39" s="886" t="s">
        <v>38</v>
      </c>
      <c r="B39" s="887"/>
      <c r="C39" s="316">
        <f>MEG!D15</f>
        <v>0</v>
      </c>
      <c r="D39" s="316">
        <f>MEG!D19</f>
        <v>0</v>
      </c>
      <c r="E39" s="316">
        <f>MEG!D23</f>
        <v>0</v>
      </c>
      <c r="F39" s="316">
        <f>MEG!D27</f>
        <v>0</v>
      </c>
      <c r="G39" s="316">
        <f>MEG!D31</f>
        <v>0</v>
      </c>
      <c r="H39" s="316">
        <f>MEG!D35</f>
        <v>0</v>
      </c>
      <c r="I39" s="294"/>
      <c r="J39" s="294"/>
    </row>
    <row r="40" spans="1:10" x14ac:dyDescent="0.2">
      <c r="A40" s="888" t="s">
        <v>240</v>
      </c>
      <c r="B40" s="889"/>
      <c r="C40" s="317"/>
      <c r="D40" s="317"/>
      <c r="E40" s="317"/>
      <c r="F40" s="317"/>
      <c r="G40" s="317"/>
      <c r="H40" s="317"/>
      <c r="I40" s="294"/>
      <c r="J40" s="294"/>
    </row>
    <row r="41" spans="1:10" x14ac:dyDescent="0.2">
      <c r="A41" s="912" t="s">
        <v>241</v>
      </c>
      <c r="B41" s="913"/>
      <c r="C41" s="318"/>
      <c r="D41" s="318"/>
      <c r="E41" s="318"/>
      <c r="F41" s="318"/>
      <c r="G41" s="318"/>
      <c r="H41" s="318"/>
      <c r="I41" s="294"/>
      <c r="J41" s="294"/>
    </row>
    <row r="42" spans="1:10" x14ac:dyDescent="0.2">
      <c r="A42" s="319"/>
      <c r="B42" s="319"/>
      <c r="C42" s="143">
        <f t="shared" ref="C42:H42" si="7">IF((C38+C39)=0,0,IF(AND((C38-C40)&gt;=0,(C39-C41)&gt;=0),(C38+C39-C40-C41),IF(AND((C38-C40)&gt;0,(C39-C41)&lt;0),(C38-C40),IF(AND((C38-C40)&lt;0,(C39-C41)&gt;0),(C39-C41),IF((C38-C40)&gt;0,(C38-C40),IF((C38-C40)&lt;0,0))))))</f>
        <v>0</v>
      </c>
      <c r="D42" s="143">
        <f t="shared" si="7"/>
        <v>0</v>
      </c>
      <c r="E42" s="143">
        <f t="shared" si="7"/>
        <v>0</v>
      </c>
      <c r="F42" s="143">
        <f t="shared" si="7"/>
        <v>0</v>
      </c>
      <c r="G42" s="143">
        <f t="shared" si="7"/>
        <v>0</v>
      </c>
      <c r="H42" s="143">
        <f t="shared" si="7"/>
        <v>0</v>
      </c>
      <c r="I42" s="240"/>
      <c r="J42" s="240"/>
    </row>
    <row r="43" spans="1:10" x14ac:dyDescent="0.2">
      <c r="A43" s="933" t="s">
        <v>69</v>
      </c>
      <c r="B43" s="934"/>
      <c r="C43" s="315">
        <f>MEG!E14</f>
        <v>0</v>
      </c>
      <c r="D43" s="315">
        <f>MEG!E18</f>
        <v>0</v>
      </c>
      <c r="E43" s="315">
        <f>MEG!E22</f>
        <v>0</v>
      </c>
      <c r="F43" s="315">
        <f>MEG!E26</f>
        <v>0</v>
      </c>
      <c r="G43" s="315">
        <f>MEG!E30</f>
        <v>0</v>
      </c>
      <c r="H43" s="315">
        <f>MEG!E34</f>
        <v>0</v>
      </c>
      <c r="I43" s="294"/>
      <c r="J43" s="294"/>
    </row>
    <row r="44" spans="1:10" x14ac:dyDescent="0.2">
      <c r="A44" s="935" t="s">
        <v>38</v>
      </c>
      <c r="B44" s="936"/>
      <c r="C44" s="316">
        <f>MEG!E15</f>
        <v>0</v>
      </c>
      <c r="D44" s="316">
        <f>MEG!E19</f>
        <v>0</v>
      </c>
      <c r="E44" s="316">
        <f>MEG!E23</f>
        <v>0</v>
      </c>
      <c r="F44" s="316">
        <f>MEG!E27</f>
        <v>0</v>
      </c>
      <c r="G44" s="316">
        <f>MEG!E31</f>
        <v>0</v>
      </c>
      <c r="H44" s="316">
        <f>MEG!E35</f>
        <v>0</v>
      </c>
      <c r="I44" s="294"/>
      <c r="J44" s="294"/>
    </row>
    <row r="45" spans="1:10" x14ac:dyDescent="0.2">
      <c r="A45" s="888" t="s">
        <v>240</v>
      </c>
      <c r="B45" s="889"/>
      <c r="C45" s="297"/>
      <c r="D45" s="297"/>
      <c r="E45" s="297"/>
      <c r="F45" s="297"/>
      <c r="G45" s="297"/>
      <c r="H45" s="297"/>
      <c r="I45" s="294"/>
      <c r="J45" s="294"/>
    </row>
    <row r="46" spans="1:10" x14ac:dyDescent="0.2">
      <c r="A46" s="912" t="s">
        <v>241</v>
      </c>
      <c r="B46" s="913"/>
      <c r="C46" s="318"/>
      <c r="D46" s="318"/>
      <c r="E46" s="318"/>
      <c r="F46" s="318"/>
      <c r="G46" s="318"/>
      <c r="H46" s="318"/>
      <c r="I46" s="294"/>
      <c r="J46" s="294"/>
    </row>
    <row r="47" spans="1:10" x14ac:dyDescent="0.2">
      <c r="A47" s="321"/>
      <c r="B47" s="321"/>
      <c r="C47" s="143">
        <f t="shared" ref="C47:H47" si="8">IF((C43+C44)=0,0,IF(AND((C43-C45)&gt;=0,(C44-C46)&gt;=0),(C43+C44-C45-C46),IF(AND((C43-C45)&gt;0,(C44-C46)&lt;0),(C43-C45),IF(AND((C43-C45)&lt;0,(C44-C46)&gt;0),(C44-C46),IF((C43-C45)&gt;0,(C43-C45),IF((C43-C45)&lt;0,0))))))</f>
        <v>0</v>
      </c>
      <c r="D47" s="143">
        <f t="shared" si="8"/>
        <v>0</v>
      </c>
      <c r="E47" s="143">
        <f t="shared" si="8"/>
        <v>0</v>
      </c>
      <c r="F47" s="143">
        <f t="shared" si="8"/>
        <v>0</v>
      </c>
      <c r="G47" s="143">
        <f t="shared" si="8"/>
        <v>0</v>
      </c>
      <c r="H47" s="143">
        <f t="shared" si="8"/>
        <v>0</v>
      </c>
      <c r="I47" s="240"/>
      <c r="J47" s="322"/>
    </row>
    <row r="48" spans="1:10" x14ac:dyDescent="0.2">
      <c r="A48" s="892" t="s">
        <v>70</v>
      </c>
      <c r="B48" s="893"/>
      <c r="C48" s="315">
        <f>MEG!F14</f>
        <v>0</v>
      </c>
      <c r="D48" s="315">
        <f>MEG!F18</f>
        <v>0</v>
      </c>
      <c r="E48" s="315">
        <f>MEG!F22</f>
        <v>0</v>
      </c>
      <c r="F48" s="315">
        <f>MEG!F26</f>
        <v>0</v>
      </c>
      <c r="G48" s="315">
        <f>MEG!F30</f>
        <v>0</v>
      </c>
      <c r="H48" s="315">
        <f>MEG!F34</f>
        <v>0</v>
      </c>
      <c r="I48" s="294"/>
      <c r="J48" s="294"/>
    </row>
    <row r="49" spans="1:10" x14ac:dyDescent="0.2">
      <c r="A49" s="886" t="s">
        <v>38</v>
      </c>
      <c r="B49" s="887"/>
      <c r="C49" s="316">
        <f>MEG!F15</f>
        <v>0</v>
      </c>
      <c r="D49" s="316">
        <f>MEG!F19</f>
        <v>0</v>
      </c>
      <c r="E49" s="316">
        <f>MEG!F23</f>
        <v>0</v>
      </c>
      <c r="F49" s="316">
        <f>MEG!F27</f>
        <v>0</v>
      </c>
      <c r="G49" s="316">
        <f>MEG!F31</f>
        <v>0</v>
      </c>
      <c r="H49" s="316">
        <f>MEG!F35</f>
        <v>0</v>
      </c>
      <c r="I49" s="294"/>
      <c r="J49" s="294"/>
    </row>
    <row r="50" spans="1:10" x14ac:dyDescent="0.2">
      <c r="A50" s="888" t="s">
        <v>240</v>
      </c>
      <c r="B50" s="889"/>
      <c r="C50" s="323"/>
      <c r="D50" s="323"/>
      <c r="E50" s="297"/>
      <c r="F50" s="297"/>
      <c r="G50" s="297"/>
      <c r="H50" s="297"/>
      <c r="I50" s="294"/>
      <c r="J50" s="294"/>
    </row>
    <row r="51" spans="1:10" x14ac:dyDescent="0.2">
      <c r="A51" s="912" t="s">
        <v>241</v>
      </c>
      <c r="B51" s="913"/>
      <c r="C51" s="324"/>
      <c r="D51" s="325"/>
      <c r="E51" s="325"/>
      <c r="F51" s="325"/>
      <c r="G51" s="325"/>
      <c r="H51" s="325"/>
      <c r="I51" s="294"/>
      <c r="J51" s="294"/>
    </row>
    <row r="52" spans="1:10" x14ac:dyDescent="0.2">
      <c r="A52" s="239"/>
      <c r="B52" s="321"/>
      <c r="C52" s="143">
        <f t="shared" ref="C52:H52" si="9">IF((C48+C49)=0,0,IF(AND((C48-C50)&gt;=0,(C49-C51)&gt;=0),(C48+C49-C50-C51),IF(AND((C48-C50)&gt;0,(C49-C51)&lt;0),(C48-C50),IF(AND((C48-C50)&lt;0,(C49-C51)&gt;0),(C49-C51),IF((C48-C50)&gt;0,(C48-C50),IF((C48-C50)&lt;0,0))))))</f>
        <v>0</v>
      </c>
      <c r="D52" s="143">
        <f t="shared" si="9"/>
        <v>0</v>
      </c>
      <c r="E52" s="143">
        <f t="shared" si="9"/>
        <v>0</v>
      </c>
      <c r="F52" s="143">
        <f t="shared" si="9"/>
        <v>0</v>
      </c>
      <c r="G52" s="143">
        <f t="shared" si="9"/>
        <v>0</v>
      </c>
      <c r="H52" s="143">
        <f t="shared" si="9"/>
        <v>0</v>
      </c>
      <c r="I52" s="240"/>
      <c r="J52" s="322"/>
    </row>
    <row r="53" spans="1:10" x14ac:dyDescent="0.2">
      <c r="A53" s="892" t="s">
        <v>83</v>
      </c>
      <c r="B53" s="893"/>
      <c r="C53" s="326">
        <f>MEG!G14</f>
        <v>0</v>
      </c>
      <c r="D53" s="326">
        <f>MEG!G18</f>
        <v>0</v>
      </c>
      <c r="E53" s="326">
        <f>MEG!G22</f>
        <v>0</v>
      </c>
      <c r="F53" s="326">
        <f>MEG!G26</f>
        <v>0</v>
      </c>
      <c r="G53" s="326">
        <f>MEG!G30</f>
        <v>0</v>
      </c>
      <c r="H53" s="326">
        <f>MEG!G34</f>
        <v>0</v>
      </c>
      <c r="I53" s="294"/>
      <c r="J53" s="294"/>
    </row>
    <row r="54" spans="1:10" x14ac:dyDescent="0.2">
      <c r="A54" s="886" t="s">
        <v>38</v>
      </c>
      <c r="B54" s="887"/>
      <c r="C54" s="327">
        <f>MEG!G15</f>
        <v>0</v>
      </c>
      <c r="D54" s="327">
        <f>MEG!G19</f>
        <v>0</v>
      </c>
      <c r="E54" s="327">
        <f>MEG!G23</f>
        <v>0</v>
      </c>
      <c r="F54" s="327">
        <f>MEG!G27</f>
        <v>0</v>
      </c>
      <c r="G54" s="327">
        <f>MEG!G31</f>
        <v>0</v>
      </c>
      <c r="H54" s="327">
        <f>MEG!G35</f>
        <v>0</v>
      </c>
      <c r="I54" s="294"/>
      <c r="J54" s="294"/>
    </row>
    <row r="55" spans="1:10" x14ac:dyDescent="0.2">
      <c r="A55" s="888" t="s">
        <v>240</v>
      </c>
      <c r="B55" s="889"/>
      <c r="C55" s="323"/>
      <c r="D55" s="328"/>
      <c r="E55" s="328"/>
      <c r="F55" s="328"/>
      <c r="G55" s="328"/>
      <c r="H55" s="328"/>
      <c r="I55" s="294"/>
      <c r="J55" s="294"/>
    </row>
    <row r="56" spans="1:10" x14ac:dyDescent="0.2">
      <c r="A56" s="912" t="s">
        <v>241</v>
      </c>
      <c r="B56" s="913"/>
      <c r="C56" s="329"/>
      <c r="D56" s="318"/>
      <c r="E56" s="318"/>
      <c r="F56" s="318"/>
      <c r="G56" s="318"/>
      <c r="H56" s="318"/>
      <c r="I56" s="294"/>
      <c r="J56" s="294"/>
    </row>
    <row r="57" spans="1:10" x14ac:dyDescent="0.2">
      <c r="A57" s="330"/>
      <c r="B57" s="330"/>
      <c r="C57" s="143">
        <f t="shared" ref="C57:H57" si="10">IF((C53+C54)=0,0,IF(AND((C53-C55)&gt;=0,(C54-C56)&gt;=0),(C53+C54-C55-C56),IF(AND((C53-C55)&gt;0,(C54-C56)&lt;0),(C53-C55),IF(AND((C53-C55)&lt;0,(C54-C56)&gt;0),(C54-C56),IF((C53-C55)&gt;0,(C53-C55),IF((C53-C55)&lt;0,0))))))</f>
        <v>0</v>
      </c>
      <c r="D57" s="143">
        <f t="shared" si="10"/>
        <v>0</v>
      </c>
      <c r="E57" s="143">
        <f t="shared" si="10"/>
        <v>0</v>
      </c>
      <c r="F57" s="143">
        <f t="shared" si="10"/>
        <v>0</v>
      </c>
      <c r="G57" s="143">
        <f t="shared" si="10"/>
        <v>0</v>
      </c>
      <c r="H57" s="143">
        <f t="shared" si="10"/>
        <v>0</v>
      </c>
      <c r="I57" s="240"/>
      <c r="J57" s="322"/>
    </row>
    <row r="58" spans="1:10" x14ac:dyDescent="0.2">
      <c r="A58" s="892" t="s">
        <v>71</v>
      </c>
      <c r="B58" s="893"/>
      <c r="C58" s="315">
        <f>MEG!H14</f>
        <v>0</v>
      </c>
      <c r="D58" s="315">
        <f>MEG!H18</f>
        <v>0</v>
      </c>
      <c r="E58" s="315">
        <f>MEG!H22</f>
        <v>0</v>
      </c>
      <c r="F58" s="315">
        <f>MEG!H26</f>
        <v>0</v>
      </c>
      <c r="G58" s="315">
        <f>MEG!H30</f>
        <v>0</v>
      </c>
      <c r="H58" s="315">
        <f>MEG!H34</f>
        <v>0</v>
      </c>
      <c r="I58" s="294"/>
      <c r="J58" s="294"/>
    </row>
    <row r="59" spans="1:10" x14ac:dyDescent="0.2">
      <c r="A59" s="886" t="s">
        <v>38</v>
      </c>
      <c r="B59" s="887"/>
      <c r="C59" s="316">
        <f>MEG!H15</f>
        <v>0</v>
      </c>
      <c r="D59" s="316">
        <f>MEG!H19</f>
        <v>0</v>
      </c>
      <c r="E59" s="316">
        <f>MEG!H23</f>
        <v>0</v>
      </c>
      <c r="F59" s="316">
        <f>MEG!H27</f>
        <v>0</v>
      </c>
      <c r="G59" s="316">
        <f>MEG!H31</f>
        <v>0</v>
      </c>
      <c r="H59" s="316">
        <f>MEG!H35</f>
        <v>0</v>
      </c>
      <c r="I59" s="294"/>
      <c r="J59" s="294"/>
    </row>
    <row r="60" spans="1:10" x14ac:dyDescent="0.2">
      <c r="A60" s="888" t="s">
        <v>240</v>
      </c>
      <c r="B60" s="889"/>
      <c r="C60" s="323"/>
      <c r="D60" s="297"/>
      <c r="E60" s="297"/>
      <c r="F60" s="297"/>
      <c r="G60" s="297"/>
      <c r="H60" s="297"/>
      <c r="I60" s="294"/>
      <c r="J60" s="294"/>
    </row>
    <row r="61" spans="1:10" x14ac:dyDescent="0.2">
      <c r="A61" s="890" t="s">
        <v>241</v>
      </c>
      <c r="B61" s="891"/>
      <c r="C61" s="329"/>
      <c r="D61" s="318"/>
      <c r="E61" s="318"/>
      <c r="F61" s="318"/>
      <c r="G61" s="318"/>
      <c r="H61" s="318"/>
      <c r="I61" s="294"/>
      <c r="J61" s="294"/>
    </row>
    <row r="62" spans="1:10" x14ac:dyDescent="0.2">
      <c r="A62" s="331"/>
      <c r="B62" s="330"/>
      <c r="C62" s="143">
        <f t="shared" ref="C62:H62" si="11">IF((C58+C59)=0,0,IF(AND((C58-C60)&gt;=0,(C59-C61)&gt;=0),(C58+C59-C60-C61),IF(AND((C58-C60)&gt;0,(C59-C61)&lt;0),(C58-C60),IF(AND((C58-C60)&lt;0,(C59-C61)&gt;0),(C59-C61),IF((C58-C60)&gt;0,(C58-C60),IF((C58-C60)&lt;0,0))))))</f>
        <v>0</v>
      </c>
      <c r="D62" s="143">
        <f t="shared" si="11"/>
        <v>0</v>
      </c>
      <c r="E62" s="143">
        <f t="shared" si="11"/>
        <v>0</v>
      </c>
      <c r="F62" s="143">
        <f t="shared" si="11"/>
        <v>0</v>
      </c>
      <c r="G62" s="143">
        <f t="shared" si="11"/>
        <v>0</v>
      </c>
      <c r="H62" s="143">
        <f t="shared" si="11"/>
        <v>0</v>
      </c>
      <c r="I62" s="240"/>
      <c r="J62" s="322"/>
    </row>
    <row r="63" spans="1:10" x14ac:dyDescent="0.2">
      <c r="A63" s="892" t="s">
        <v>37</v>
      </c>
      <c r="B63" s="893"/>
      <c r="C63" s="326">
        <f>MEG!I14</f>
        <v>0</v>
      </c>
      <c r="D63" s="326">
        <f>MEG!I18</f>
        <v>0</v>
      </c>
      <c r="E63" s="326">
        <f>MEG!I22</f>
        <v>0</v>
      </c>
      <c r="F63" s="326">
        <f>MEG!I26</f>
        <v>0</v>
      </c>
      <c r="G63" s="326">
        <f>MEG!I30</f>
        <v>0</v>
      </c>
      <c r="H63" s="326">
        <f>MEG!I34</f>
        <v>0</v>
      </c>
      <c r="I63" s="294"/>
      <c r="J63" s="294"/>
    </row>
    <row r="64" spans="1:10" x14ac:dyDescent="0.2">
      <c r="A64" s="886" t="s">
        <v>38</v>
      </c>
      <c r="B64" s="887"/>
      <c r="C64" s="327">
        <f>MEG!I15</f>
        <v>0</v>
      </c>
      <c r="D64" s="327">
        <f>MEG!I19</f>
        <v>0</v>
      </c>
      <c r="E64" s="327">
        <f>MEG!I23</f>
        <v>0</v>
      </c>
      <c r="F64" s="327">
        <f>MEG!I27</f>
        <v>0</v>
      </c>
      <c r="G64" s="327">
        <f>MEG!I31</f>
        <v>0</v>
      </c>
      <c r="H64" s="327">
        <f>MEG!I35</f>
        <v>0</v>
      </c>
      <c r="I64" s="294"/>
      <c r="J64" s="294"/>
    </row>
    <row r="65" spans="1:10" x14ac:dyDescent="0.2">
      <c r="A65" s="894" t="s">
        <v>72</v>
      </c>
      <c r="B65" s="895"/>
      <c r="C65" s="317"/>
      <c r="D65" s="317"/>
      <c r="E65" s="317"/>
      <c r="F65" s="317"/>
      <c r="G65" s="317"/>
      <c r="H65" s="317"/>
      <c r="I65" s="294"/>
      <c r="J65" s="294"/>
    </row>
    <row r="66" spans="1:10" x14ac:dyDescent="0.2">
      <c r="A66" s="890" t="s">
        <v>68</v>
      </c>
      <c r="B66" s="891"/>
      <c r="C66" s="318"/>
      <c r="D66" s="318"/>
      <c r="E66" s="318"/>
      <c r="F66" s="318"/>
      <c r="G66" s="318"/>
      <c r="H66" s="318"/>
      <c r="I66" s="294"/>
      <c r="J66" s="294"/>
    </row>
    <row r="67" spans="1:10" x14ac:dyDescent="0.2">
      <c r="A67" s="332"/>
      <c r="B67" s="332"/>
      <c r="C67" s="143">
        <f t="shared" ref="C67:H67" si="12">IF((C63+C64)=0,0,IF(AND((C63-C65)&gt;=0,(C64-C66)&gt;=0),(C63+C64-C65-C66),IF(AND((C63-C65)&gt;0,(C64-C66)&lt;0),(C63-C65),IF(AND((C63-C65)&lt;0,(C64-C66)&gt;0),(C64-C66),IF((C63-C65)&gt;0,(C63-C65),IF((C63-C65)&lt;0,0))))))</f>
        <v>0</v>
      </c>
      <c r="D67" s="143">
        <f t="shared" si="12"/>
        <v>0</v>
      </c>
      <c r="E67" s="143">
        <f t="shared" si="12"/>
        <v>0</v>
      </c>
      <c r="F67" s="143">
        <f t="shared" si="12"/>
        <v>0</v>
      </c>
      <c r="G67" s="143">
        <f t="shared" si="12"/>
        <v>0</v>
      </c>
      <c r="H67" s="143">
        <f t="shared" si="12"/>
        <v>0</v>
      </c>
      <c r="I67" s="240"/>
      <c r="J67" s="240"/>
    </row>
    <row r="68" spans="1:10" x14ac:dyDescent="0.2">
      <c r="A68" s="896" t="s">
        <v>73</v>
      </c>
      <c r="B68" s="897"/>
      <c r="C68" s="361">
        <f>MEG!K14</f>
        <v>0</v>
      </c>
      <c r="D68" s="361">
        <f>MEG!K18</f>
        <v>0</v>
      </c>
      <c r="E68" s="361">
        <f>MEG!K22</f>
        <v>0</v>
      </c>
      <c r="F68" s="361">
        <f>MEG!K26</f>
        <v>0</v>
      </c>
      <c r="G68" s="361">
        <f>MEG!K30</f>
        <v>0</v>
      </c>
      <c r="H68" s="361">
        <f>MEG!K34</f>
        <v>0</v>
      </c>
      <c r="I68" s="294"/>
      <c r="J68" s="294"/>
    </row>
    <row r="69" spans="1:10" x14ac:dyDescent="0.2">
      <c r="A69" s="868" t="s">
        <v>74</v>
      </c>
      <c r="B69" s="869"/>
      <c r="C69" s="333"/>
      <c r="D69" s="333"/>
      <c r="E69" s="333"/>
      <c r="F69" s="333"/>
      <c r="G69" s="333"/>
      <c r="H69" s="333"/>
      <c r="I69" s="294"/>
      <c r="J69" s="294"/>
    </row>
    <row r="70" spans="1:10" x14ac:dyDescent="0.2">
      <c r="A70" s="239"/>
      <c r="B70" s="332"/>
      <c r="C70" s="332"/>
      <c r="D70" s="334"/>
      <c r="E70" s="334"/>
      <c r="F70" s="334"/>
      <c r="G70" s="334"/>
      <c r="H70" s="334"/>
      <c r="I70" s="334"/>
      <c r="J70" s="239"/>
    </row>
    <row r="71" spans="1:10" ht="15" x14ac:dyDescent="0.25">
      <c r="A71" s="931" t="s">
        <v>29</v>
      </c>
      <c r="B71" s="932"/>
      <c r="C71" s="255" t="e">
        <f>EDATE(BG!D2,-6)</f>
        <v>#NUM!</v>
      </c>
      <c r="D71" s="255" t="e">
        <f>EDATE(BG!D2,-5)</f>
        <v>#NUM!</v>
      </c>
      <c r="E71" s="255" t="e">
        <f>EDATE(BG!D2,-4)</f>
        <v>#NUM!</v>
      </c>
      <c r="F71" s="255" t="e">
        <f>EDATE(BG!D2,-3)</f>
        <v>#NUM!</v>
      </c>
      <c r="G71" s="255" t="e">
        <f>EDATE(BG!D2,-2)</f>
        <v>#NUM!</v>
      </c>
      <c r="H71" s="255" t="e">
        <f>EDATE(BG!D2,-1)</f>
        <v>#NUM!</v>
      </c>
      <c r="I71" s="292"/>
      <c r="J71" s="292"/>
    </row>
    <row r="72" spans="1:10" x14ac:dyDescent="0.2">
      <c r="A72" s="875" t="s">
        <v>252</v>
      </c>
      <c r="B72" s="876"/>
      <c r="C72" s="335">
        <f>MEG!J14</f>
        <v>0</v>
      </c>
      <c r="D72" s="335">
        <f>MEG!J18</f>
        <v>0</v>
      </c>
      <c r="E72" s="335">
        <f>MEG!J22</f>
        <v>0</v>
      </c>
      <c r="F72" s="335">
        <f>MEG!J26</f>
        <v>0</v>
      </c>
      <c r="G72" s="335">
        <f>MEG!J30</f>
        <v>0</v>
      </c>
      <c r="H72" s="335">
        <f>MEG!J34</f>
        <v>0</v>
      </c>
      <c r="I72" s="294"/>
      <c r="J72" s="294"/>
    </row>
    <row r="73" spans="1:10" x14ac:dyDescent="0.2">
      <c r="A73" s="877" t="s">
        <v>346</v>
      </c>
      <c r="B73" s="877"/>
      <c r="C73" s="336"/>
      <c r="D73" s="336"/>
      <c r="E73" s="336"/>
      <c r="F73" s="336"/>
      <c r="G73" s="336"/>
      <c r="H73" s="336"/>
      <c r="I73" s="294"/>
      <c r="J73" s="294"/>
    </row>
    <row r="74" spans="1:10" x14ac:dyDescent="0.2">
      <c r="A74" s="878" t="s">
        <v>371</v>
      </c>
      <c r="B74" s="879"/>
      <c r="C74" s="337"/>
      <c r="D74" s="337"/>
      <c r="E74" s="337"/>
      <c r="F74" s="337"/>
      <c r="G74" s="337"/>
      <c r="H74" s="337"/>
      <c r="I74" s="294"/>
      <c r="J74" s="294"/>
    </row>
    <row r="75" spans="1:10" x14ac:dyDescent="0.2">
      <c r="A75" s="884" t="s">
        <v>372</v>
      </c>
      <c r="B75" s="885"/>
      <c r="C75" s="338"/>
      <c r="D75" s="338"/>
      <c r="E75" s="338"/>
      <c r="F75" s="338"/>
      <c r="G75" s="338"/>
      <c r="H75" s="338"/>
      <c r="I75" s="294"/>
      <c r="J75" s="294"/>
    </row>
    <row r="76" spans="1:10" x14ac:dyDescent="0.2">
      <c r="A76" s="880" t="s">
        <v>495</v>
      </c>
      <c r="B76" s="881"/>
      <c r="C76" s="339"/>
      <c r="D76" s="339"/>
      <c r="E76" s="339"/>
      <c r="F76" s="339"/>
      <c r="G76" s="339"/>
      <c r="H76" s="339"/>
      <c r="I76" s="294"/>
      <c r="J76" s="294"/>
    </row>
    <row r="77" spans="1:10" x14ac:dyDescent="0.2">
      <c r="A77" s="882" t="s">
        <v>316</v>
      </c>
      <c r="B77" s="883"/>
      <c r="C77" s="339"/>
      <c r="D77" s="339"/>
      <c r="E77" s="339"/>
      <c r="F77" s="339"/>
      <c r="G77" s="339"/>
      <c r="H77" s="339"/>
      <c r="I77" s="294"/>
      <c r="J77" s="294"/>
    </row>
    <row r="78" spans="1:10" x14ac:dyDescent="0.2">
      <c r="A78" s="870" t="s">
        <v>317</v>
      </c>
      <c r="B78" s="871"/>
      <c r="C78" s="340" t="e">
        <f t="shared" ref="C78:H78" si="13">IF(AND(C25=0,C72&gt;0),30,0)</f>
        <v>#NUM!</v>
      </c>
      <c r="D78" s="340" t="e">
        <f t="shared" si="13"/>
        <v>#NUM!</v>
      </c>
      <c r="E78" s="340" t="e">
        <f t="shared" si="13"/>
        <v>#NUM!</v>
      </c>
      <c r="F78" s="340" t="e">
        <f t="shared" si="13"/>
        <v>#NUM!</v>
      </c>
      <c r="G78" s="340" t="e">
        <f t="shared" si="13"/>
        <v>#NUM!</v>
      </c>
      <c r="H78" s="340" t="e">
        <f t="shared" si="13"/>
        <v>#NUM!</v>
      </c>
      <c r="I78" s="294"/>
      <c r="J78" s="240"/>
    </row>
    <row r="79" spans="1:10" x14ac:dyDescent="0.2">
      <c r="A79" s="872" t="s">
        <v>58</v>
      </c>
      <c r="B79" s="872"/>
      <c r="C79" s="337"/>
      <c r="D79" s="337"/>
      <c r="E79" s="337"/>
      <c r="F79" s="337"/>
      <c r="G79" s="337"/>
      <c r="H79" s="337"/>
      <c r="I79" s="294"/>
      <c r="J79" s="294"/>
    </row>
    <row r="80" spans="1:10" x14ac:dyDescent="0.2">
      <c r="A80" s="873" t="s">
        <v>318</v>
      </c>
      <c r="B80" s="874"/>
      <c r="C80" s="336"/>
      <c r="D80" s="336"/>
      <c r="E80" s="336"/>
      <c r="F80" s="336"/>
      <c r="G80" s="336"/>
      <c r="H80" s="336"/>
      <c r="I80" s="294"/>
      <c r="J80" s="294"/>
    </row>
    <row r="81" spans="1:10" x14ac:dyDescent="0.2">
      <c r="A81" s="810" t="s">
        <v>319</v>
      </c>
      <c r="B81" s="810"/>
      <c r="C81" s="337"/>
      <c r="D81" s="337"/>
      <c r="E81" s="337"/>
      <c r="F81" s="337"/>
      <c r="G81" s="337"/>
      <c r="H81" s="337"/>
      <c r="I81" s="294"/>
      <c r="J81" s="294"/>
    </row>
    <row r="82" spans="1:10" x14ac:dyDescent="0.2">
      <c r="A82" s="810" t="s">
        <v>320</v>
      </c>
      <c r="B82" s="810"/>
      <c r="C82" s="287">
        <f t="shared" ref="C82:H82" si="14">IF(C72=0,0,IF(C25&gt;0,SUM(C75:C81)+C73+C74,IF(C25=0,IF(SUM(C75:C81)&lt;100,100+C73+C74,SUM(C75:C81)+C73+C74))))</f>
        <v>0</v>
      </c>
      <c r="D82" s="287">
        <f t="shared" si="14"/>
        <v>0</v>
      </c>
      <c r="E82" s="287">
        <f t="shared" si="14"/>
        <v>0</v>
      </c>
      <c r="F82" s="287">
        <f t="shared" si="14"/>
        <v>0</v>
      </c>
      <c r="G82" s="287">
        <f t="shared" si="14"/>
        <v>0</v>
      </c>
      <c r="H82" s="287">
        <f t="shared" si="14"/>
        <v>0</v>
      </c>
      <c r="I82" s="294"/>
      <c r="J82" s="294"/>
    </row>
    <row r="83" spans="1:10" x14ac:dyDescent="0.2">
      <c r="A83" s="810" t="s">
        <v>322</v>
      </c>
      <c r="B83" s="810"/>
      <c r="C83" s="287">
        <f t="shared" ref="C83:H83" si="15">IF(C72-C82&lt;0,0,C72-C82)</f>
        <v>0</v>
      </c>
      <c r="D83" s="287">
        <f t="shared" si="15"/>
        <v>0</v>
      </c>
      <c r="E83" s="287">
        <f t="shared" si="15"/>
        <v>0</v>
      </c>
      <c r="F83" s="287">
        <f t="shared" si="15"/>
        <v>0</v>
      </c>
      <c r="G83" s="287">
        <f t="shared" si="15"/>
        <v>0</v>
      </c>
      <c r="H83" s="287">
        <f t="shared" si="15"/>
        <v>0</v>
      </c>
      <c r="I83" s="240"/>
      <c r="J83" s="240"/>
    </row>
    <row r="84" spans="1:10" x14ac:dyDescent="0.2">
      <c r="A84" s="866" t="s">
        <v>321</v>
      </c>
      <c r="B84" s="867"/>
      <c r="C84" s="341">
        <f>MEG!J15</f>
        <v>0</v>
      </c>
      <c r="D84" s="341">
        <f>MEG!J19</f>
        <v>0</v>
      </c>
      <c r="E84" s="341">
        <f>MEG!J23</f>
        <v>0</v>
      </c>
      <c r="F84" s="341">
        <f>MEG!J27</f>
        <v>0</v>
      </c>
      <c r="G84" s="341">
        <f>MEG!J31</f>
        <v>0</v>
      </c>
      <c r="H84" s="341">
        <f>MEG!J35</f>
        <v>0</v>
      </c>
      <c r="I84" s="294"/>
      <c r="J84" s="294"/>
    </row>
    <row r="85" spans="1:10" x14ac:dyDescent="0.2">
      <c r="A85" s="868" t="s">
        <v>68</v>
      </c>
      <c r="B85" s="869"/>
      <c r="C85" s="333"/>
      <c r="D85" s="333"/>
      <c r="E85" s="333"/>
      <c r="F85" s="333"/>
      <c r="G85" s="333"/>
      <c r="H85" s="333"/>
      <c r="I85" s="294"/>
      <c r="J85" s="294"/>
    </row>
    <row r="86" spans="1:10" x14ac:dyDescent="0.2">
      <c r="A86" s="239"/>
      <c r="B86" s="239"/>
      <c r="C86" s="93">
        <f t="shared" ref="C86:H86" si="16">IF((C84-C85)&lt;0,0,(C84-C85))</f>
        <v>0</v>
      </c>
      <c r="D86" s="93">
        <f t="shared" si="16"/>
        <v>0</v>
      </c>
      <c r="E86" s="93">
        <f t="shared" si="16"/>
        <v>0</v>
      </c>
      <c r="F86" s="93">
        <f t="shared" si="16"/>
        <v>0</v>
      </c>
      <c r="G86" s="93">
        <f t="shared" si="16"/>
        <v>0</v>
      </c>
      <c r="H86" s="93">
        <f t="shared" si="16"/>
        <v>0</v>
      </c>
      <c r="I86" s="240"/>
      <c r="J86" s="240"/>
    </row>
    <row r="87" spans="1:10" x14ac:dyDescent="0.2">
      <c r="A87" s="239"/>
      <c r="B87" s="239"/>
      <c r="C87" s="93">
        <f t="shared" ref="C87:H87" si="17">IF((C68-C69)&lt;0,0,C68-C69)</f>
        <v>0</v>
      </c>
      <c r="D87" s="93">
        <f t="shared" si="17"/>
        <v>0</v>
      </c>
      <c r="E87" s="93">
        <f t="shared" si="17"/>
        <v>0</v>
      </c>
      <c r="F87" s="93">
        <f t="shared" si="17"/>
        <v>0</v>
      </c>
      <c r="G87" s="93">
        <f t="shared" si="17"/>
        <v>0</v>
      </c>
      <c r="H87" s="93">
        <f t="shared" si="17"/>
        <v>0</v>
      </c>
      <c r="I87" s="240"/>
      <c r="J87" s="240"/>
    </row>
    <row r="88" spans="1:10" ht="15" x14ac:dyDescent="0.25">
      <c r="A88" s="902" t="s">
        <v>75</v>
      </c>
      <c r="B88" s="902"/>
      <c r="C88" s="342" t="s">
        <v>323</v>
      </c>
      <c r="D88" s="309"/>
      <c r="E88" s="309"/>
      <c r="F88" s="309"/>
      <c r="G88" s="309"/>
      <c r="H88" s="309"/>
      <c r="I88" s="240"/>
      <c r="J88" s="240"/>
    </row>
    <row r="89" spans="1:10" x14ac:dyDescent="0.2">
      <c r="A89" s="903" t="s">
        <v>56</v>
      </c>
      <c r="B89" s="903"/>
      <c r="C89" s="308"/>
      <c r="D89" s="308"/>
      <c r="E89" s="308"/>
      <c r="F89" s="308"/>
      <c r="G89" s="308"/>
      <c r="H89" s="308"/>
      <c r="I89" s="294"/>
      <c r="J89" s="294"/>
    </row>
    <row r="90" spans="1:10" x14ac:dyDescent="0.2">
      <c r="A90" s="903" t="s">
        <v>57</v>
      </c>
      <c r="B90" s="903"/>
      <c r="C90" s="308"/>
      <c r="D90" s="308"/>
      <c r="E90" s="308"/>
      <c r="F90" s="308"/>
      <c r="G90" s="308"/>
      <c r="H90" s="308"/>
      <c r="I90" s="294"/>
      <c r="J90" s="294"/>
    </row>
    <row r="91" spans="1:10" x14ac:dyDescent="0.2">
      <c r="A91" s="903" t="s">
        <v>58</v>
      </c>
      <c r="B91" s="903"/>
      <c r="C91" s="308"/>
      <c r="D91" s="308"/>
      <c r="E91" s="308"/>
      <c r="F91" s="308"/>
      <c r="G91" s="308"/>
      <c r="H91" s="308"/>
      <c r="I91" s="294"/>
      <c r="J91" s="294"/>
    </row>
    <row r="92" spans="1:10" x14ac:dyDescent="0.2">
      <c r="A92" s="903" t="s">
        <v>76</v>
      </c>
      <c r="B92" s="903"/>
      <c r="C92" s="343" t="e">
        <f>IF((C5+C4+H8+C72+C84)&gt;0,0,IF(C25=0,30,IF(C25&gt;0,0)))</f>
        <v>#NUM!</v>
      </c>
      <c r="D92" s="343" t="e">
        <f>IF((D5+D4+H8+D72+D84)&gt;0,0,IF(D25=0,30,IF(D25&gt;0,0)))</f>
        <v>#NUM!</v>
      </c>
      <c r="E92" s="343" t="e">
        <f>IF((E4+E5+H8+E72+E84)&gt;0,0,IF(E25=0,30,IF(E25&gt;0,0)))</f>
        <v>#NUM!</v>
      </c>
      <c r="F92" s="343" t="e">
        <f>IF((F5+F4+H8+F72+F84)&gt;0,0,IF(F25=0,30,IF(F25&gt;0,0)))</f>
        <v>#NUM!</v>
      </c>
      <c r="G92" s="343" t="e">
        <f>IF((G5+G4+H8+G72+G84)&gt;0,0,IF(G25=0,30,IF(G25&gt;0,0)))</f>
        <v>#NUM!</v>
      </c>
      <c r="H92" s="343" t="e">
        <f>IF((H5+H4+H8+H72+H84)&gt;0,0,IF(H25=0,30,IF(H25&gt;0,0)))</f>
        <v>#NUM!</v>
      </c>
      <c r="I92" s="239"/>
      <c r="J92" s="239"/>
    </row>
    <row r="93" spans="1:10" x14ac:dyDescent="0.2">
      <c r="A93" s="239"/>
      <c r="B93" s="239"/>
      <c r="C93" s="239"/>
      <c r="D93" s="239"/>
      <c r="E93" s="239"/>
      <c r="F93" s="239"/>
      <c r="G93" s="239"/>
      <c r="H93" s="239"/>
      <c r="I93" s="239"/>
      <c r="J93" s="239"/>
    </row>
    <row r="94" spans="1:10" x14ac:dyDescent="0.2">
      <c r="A94" s="241"/>
      <c r="B94" s="344" t="s">
        <v>77</v>
      </c>
      <c r="C94" s="97">
        <f t="shared" ref="C94:H94" si="18">C42+C47+C52+C57+C62+C67+C83+C86+C87</f>
        <v>0</v>
      </c>
      <c r="D94" s="97">
        <f t="shared" si="18"/>
        <v>0</v>
      </c>
      <c r="E94" s="97">
        <f t="shared" si="18"/>
        <v>0</v>
      </c>
      <c r="F94" s="97">
        <f t="shared" si="18"/>
        <v>0</v>
      </c>
      <c r="G94" s="97">
        <f t="shared" si="18"/>
        <v>0</v>
      </c>
      <c r="H94" s="97">
        <f t="shared" si="18"/>
        <v>0</v>
      </c>
      <c r="I94" s="258" t="s">
        <v>48</v>
      </c>
      <c r="J94" s="239"/>
    </row>
    <row r="95" spans="1:10" x14ac:dyDescent="0.2">
      <c r="A95" s="345"/>
      <c r="B95" s="346" t="s">
        <v>78</v>
      </c>
      <c r="C95" s="106" t="e">
        <f t="shared" ref="C95:H95" si="19">SUM(C89:C92)</f>
        <v>#NUM!</v>
      </c>
      <c r="D95" s="106" t="e">
        <f t="shared" si="19"/>
        <v>#NUM!</v>
      </c>
      <c r="E95" s="106" t="e">
        <f t="shared" si="19"/>
        <v>#NUM!</v>
      </c>
      <c r="F95" s="106" t="e">
        <f t="shared" si="19"/>
        <v>#NUM!</v>
      </c>
      <c r="G95" s="106" t="e">
        <f t="shared" si="19"/>
        <v>#NUM!</v>
      </c>
      <c r="H95" s="106" t="e">
        <f t="shared" si="19"/>
        <v>#NUM!</v>
      </c>
      <c r="I95" s="347"/>
      <c r="J95" s="239"/>
    </row>
    <row r="96" spans="1:10" x14ac:dyDescent="0.2">
      <c r="A96" s="281"/>
      <c r="B96" s="348" t="s">
        <v>339</v>
      </c>
      <c r="C96" s="296" t="e">
        <f t="shared" ref="C96:H96" si="20">IF((C94-C95)&lt;0,0,(C94-C95))</f>
        <v>#NUM!</v>
      </c>
      <c r="D96" s="296" t="e">
        <f t="shared" si="20"/>
        <v>#NUM!</v>
      </c>
      <c r="E96" s="296" t="e">
        <f t="shared" si="20"/>
        <v>#NUM!</v>
      </c>
      <c r="F96" s="296" t="e">
        <f t="shared" si="20"/>
        <v>#NUM!</v>
      </c>
      <c r="G96" s="296" t="e">
        <f t="shared" si="20"/>
        <v>#NUM!</v>
      </c>
      <c r="H96" s="296" t="e">
        <f t="shared" si="20"/>
        <v>#NUM!</v>
      </c>
      <c r="I96" s="287" t="e">
        <f>SUM(C96:H96)</f>
        <v>#NUM!</v>
      </c>
      <c r="J96" s="239"/>
    </row>
    <row r="97" spans="1:10" x14ac:dyDescent="0.2">
      <c r="A97" s="239"/>
      <c r="B97" s="239"/>
      <c r="C97" s="239"/>
      <c r="D97" s="239"/>
      <c r="E97" s="239"/>
      <c r="F97" s="239"/>
      <c r="G97" s="239"/>
      <c r="H97" s="239"/>
      <c r="I97" s="239"/>
      <c r="J97" s="239"/>
    </row>
    <row r="98" spans="1:10" x14ac:dyDescent="0.2">
      <c r="A98" s="239"/>
      <c r="B98" s="239"/>
      <c r="C98" s="239"/>
      <c r="D98" s="239"/>
      <c r="E98" s="239"/>
      <c r="F98" s="239"/>
      <c r="G98" s="239"/>
      <c r="H98" s="239"/>
      <c r="I98" s="239"/>
      <c r="J98" s="239"/>
    </row>
    <row r="99" spans="1:10" x14ac:dyDescent="0.2">
      <c r="A99" s="239"/>
      <c r="B99" s="239"/>
      <c r="C99" s="239"/>
      <c r="D99" s="239"/>
      <c r="E99" s="239"/>
      <c r="F99" s="239"/>
      <c r="G99" s="239"/>
      <c r="H99" s="239"/>
      <c r="I99" s="239"/>
      <c r="J99" s="239"/>
    </row>
    <row r="100" spans="1:10" x14ac:dyDescent="0.2">
      <c r="A100" s="239"/>
      <c r="B100" s="239"/>
      <c r="C100" s="239"/>
      <c r="D100" s="239"/>
      <c r="E100" s="239"/>
      <c r="F100" s="239"/>
      <c r="G100" s="239"/>
      <c r="H100" s="239"/>
      <c r="I100" s="239"/>
      <c r="J100" s="239"/>
    </row>
    <row r="101" spans="1:10" x14ac:dyDescent="0.2">
      <c r="A101" s="239"/>
      <c r="B101" s="239"/>
      <c r="C101" s="239"/>
      <c r="D101" s="239"/>
      <c r="E101" s="239"/>
      <c r="F101" s="239"/>
      <c r="G101" s="239"/>
      <c r="H101" s="239"/>
      <c r="I101" s="239"/>
      <c r="J101" s="239"/>
    </row>
    <row r="102" spans="1:10" x14ac:dyDescent="0.2">
      <c r="A102" s="239"/>
      <c r="B102" s="239"/>
      <c r="C102" s="239"/>
      <c r="D102" s="239"/>
      <c r="E102" s="239"/>
      <c r="F102" s="239"/>
      <c r="G102" s="239"/>
      <c r="H102" s="239"/>
      <c r="I102" s="239"/>
      <c r="J102" s="239"/>
    </row>
    <row r="103" spans="1:10" x14ac:dyDescent="0.2">
      <c r="A103" s="239"/>
      <c r="B103" s="239"/>
      <c r="C103" s="239"/>
      <c r="D103" s="239"/>
      <c r="E103" s="239"/>
      <c r="F103" s="239"/>
      <c r="G103" s="239"/>
      <c r="H103" s="239"/>
      <c r="I103" s="239"/>
      <c r="J103" s="239"/>
    </row>
    <row r="104" spans="1:10" x14ac:dyDescent="0.2">
      <c r="A104" s="239"/>
      <c r="B104" s="239"/>
      <c r="C104" s="239"/>
      <c r="D104" s="239"/>
      <c r="E104" s="239"/>
      <c r="F104" s="239"/>
      <c r="G104" s="239"/>
      <c r="H104" s="239"/>
      <c r="I104" s="239"/>
      <c r="J104" s="239"/>
    </row>
    <row r="105" spans="1:10" x14ac:dyDescent="0.2">
      <c r="A105" s="239"/>
      <c r="B105" s="239"/>
      <c r="C105" s="239"/>
      <c r="D105" s="239"/>
      <c r="E105" s="239"/>
      <c r="F105" s="239"/>
      <c r="G105" s="239"/>
      <c r="H105" s="239"/>
      <c r="I105" s="239"/>
      <c r="J105" s="239"/>
    </row>
    <row r="106" spans="1:10" x14ac:dyDescent="0.2">
      <c r="A106" s="239"/>
      <c r="B106" s="239"/>
      <c r="C106" s="239"/>
      <c r="D106" s="239"/>
      <c r="E106" s="239"/>
      <c r="F106" s="239"/>
      <c r="G106" s="239"/>
      <c r="H106" s="239"/>
      <c r="I106" s="239"/>
      <c r="J106" s="239"/>
    </row>
    <row r="107" spans="1:10" ht="15" x14ac:dyDescent="0.25">
      <c r="A107" s="349" t="s">
        <v>228</v>
      </c>
      <c r="B107" s="239"/>
      <c r="C107" s="255" t="e">
        <f t="shared" ref="C107:H107" si="21">C37</f>
        <v>#NUM!</v>
      </c>
      <c r="D107" s="255" t="e">
        <f t="shared" si="21"/>
        <v>#NUM!</v>
      </c>
      <c r="E107" s="255" t="e">
        <f t="shared" si="21"/>
        <v>#NUM!</v>
      </c>
      <c r="F107" s="255" t="e">
        <f t="shared" si="21"/>
        <v>#NUM!</v>
      </c>
      <c r="G107" s="255" t="e">
        <f t="shared" si="21"/>
        <v>#NUM!</v>
      </c>
      <c r="H107" s="255" t="e">
        <f t="shared" si="21"/>
        <v>#NUM!</v>
      </c>
      <c r="I107" s="245"/>
      <c r="J107" s="292"/>
    </row>
    <row r="108" spans="1:10" x14ac:dyDescent="0.2">
      <c r="A108" s="904" t="s">
        <v>262</v>
      </c>
      <c r="B108" s="905"/>
      <c r="C108" s="910"/>
      <c r="D108" s="910"/>
      <c r="E108" s="910"/>
      <c r="F108" s="910"/>
      <c r="G108" s="910"/>
      <c r="H108" s="910"/>
      <c r="I108" s="345"/>
      <c r="J108" s="240"/>
    </row>
    <row r="109" spans="1:10" x14ac:dyDescent="0.2">
      <c r="A109" s="906" t="s">
        <v>263</v>
      </c>
      <c r="B109" s="907"/>
      <c r="C109" s="911"/>
      <c r="D109" s="911"/>
      <c r="E109" s="911"/>
      <c r="F109" s="911"/>
      <c r="G109" s="911"/>
      <c r="H109" s="911"/>
      <c r="I109" s="311"/>
      <c r="J109" s="294"/>
    </row>
    <row r="110" spans="1:10" x14ac:dyDescent="0.2">
      <c r="A110" s="909" t="s">
        <v>264</v>
      </c>
      <c r="B110" s="909"/>
      <c r="C110" s="910"/>
      <c r="D110" s="910"/>
      <c r="E110" s="910"/>
      <c r="F110" s="910"/>
      <c r="G110" s="910"/>
      <c r="H110" s="910"/>
      <c r="I110" s="345"/>
      <c r="J110" s="240"/>
    </row>
    <row r="111" spans="1:10" x14ac:dyDescent="0.2">
      <c r="A111" s="908" t="s">
        <v>265</v>
      </c>
      <c r="B111" s="908"/>
      <c r="C111" s="911"/>
      <c r="D111" s="911"/>
      <c r="E111" s="911"/>
      <c r="F111" s="911"/>
      <c r="G111" s="911"/>
      <c r="H111" s="911"/>
      <c r="I111" s="311"/>
      <c r="J111" s="294"/>
    </row>
    <row r="112" spans="1:10" ht="15" x14ac:dyDescent="0.25">
      <c r="A112" s="349" t="s">
        <v>266</v>
      </c>
      <c r="B112" s="239"/>
      <c r="C112" s="239"/>
      <c r="D112" s="239"/>
      <c r="E112" s="239"/>
      <c r="F112" s="239"/>
      <c r="G112" s="239"/>
      <c r="H112" s="239"/>
      <c r="I112" s="240"/>
      <c r="J112" s="240"/>
    </row>
    <row r="113" spans="1:10" x14ac:dyDescent="0.2">
      <c r="A113" s="909" t="s">
        <v>267</v>
      </c>
      <c r="B113" s="909"/>
      <c r="C113" s="910"/>
      <c r="D113" s="910"/>
      <c r="E113" s="910"/>
      <c r="F113" s="910"/>
      <c r="G113" s="910"/>
      <c r="H113" s="910"/>
      <c r="I113" s="345"/>
      <c r="J113" s="240"/>
    </row>
    <row r="114" spans="1:10" x14ac:dyDescent="0.2">
      <c r="A114" s="908" t="s">
        <v>268</v>
      </c>
      <c r="B114" s="908"/>
      <c r="C114" s="911"/>
      <c r="D114" s="911"/>
      <c r="E114" s="911"/>
      <c r="F114" s="911"/>
      <c r="G114" s="911"/>
      <c r="H114" s="911"/>
      <c r="I114" s="311"/>
      <c r="J114" s="294"/>
    </row>
    <row r="115" spans="1:10" x14ac:dyDescent="0.2">
      <c r="A115" s="939" t="s">
        <v>518</v>
      </c>
      <c r="B115" s="939"/>
      <c r="C115" s="243">
        <f>'K1'!C29+'K2'!C29+'K3'!C29+'K4'!C29+'K5'!C29+'K6'!C29+'K7'!C29+'K8'!C29+'K9'!C29+'K10'!C29+'K11'!C29+'K12'!C29+'K13'!C29+'K14'!C29+'K15'!C29</f>
        <v>0</v>
      </c>
      <c r="D115" s="243">
        <f>'K1'!D29+'K2'!D29+'K3'!D29+'K4'!D29+'K5'!D29+'K6'!D29+'K7'!D29+'K8'!D29+'K9'!D29+'K10'!D29+'K11'!D29+'K12'!D29+'K13'!D29+'K14'!D29+'K15'!D29</f>
        <v>0</v>
      </c>
      <c r="E115" s="243">
        <f>'K1'!E29+'K2'!E29+'K3'!E29+'K4'!E29+'K5'!E29+'K6'!E29+'K7'!E29+'K8'!E29+'K9'!E29+'K10'!E29+'K11'!E29+'K12'!E29+'K13'!E29+'K14'!E29+'K15'!E29</f>
        <v>0</v>
      </c>
      <c r="F115" s="243">
        <f>'K1'!F29+'K2'!F29+'K3'!F29+'K4'!F29+'K5'!F29+'K6'!F29+'K7'!F29+'K8'!F29+'K9'!F29+'K10'!F29+'K11'!F29+'K12'!F29+'K13'!F29+'K14'!F29+'K15'!F29</f>
        <v>0</v>
      </c>
      <c r="G115" s="243">
        <f>'K1'!G29+'K2'!G29+'K3'!G29+'K4'!G29+'K5'!G29+'K6'!G29+'K7'!G29+'K8'!G29+'K9'!G29+'K10'!G29+'K11'!G29+'K12'!G29+'K13'!G29+'K14'!G29+'K15'!G29</f>
        <v>0</v>
      </c>
      <c r="H115" s="243">
        <f>'K1'!H29+'K2'!H29+'K3'!H29+'K4'!H29+'K5'!H29+'K6'!H29+'K7'!H29+'K8'!H29+'K9'!H29+'K10'!H29+'K11'!H29+'K12'!H29+'K13'!H29+'K14'!H29+'K15'!H29</f>
        <v>0</v>
      </c>
      <c r="I115" s="81">
        <f>ROUND(SUM(C115:H115)/6,2)</f>
        <v>0</v>
      </c>
      <c r="J115" s="239"/>
    </row>
    <row r="116" spans="1:10" x14ac:dyDescent="0.2">
      <c r="A116" s="239"/>
      <c r="B116" s="239"/>
      <c r="C116" s="239"/>
      <c r="D116" s="239"/>
      <c r="E116" s="239"/>
      <c r="F116" s="239"/>
      <c r="G116" s="239"/>
      <c r="H116" s="239"/>
      <c r="I116" s="239"/>
      <c r="J116" s="239"/>
    </row>
    <row r="117" spans="1:10" x14ac:dyDescent="0.2">
      <c r="A117" s="239"/>
      <c r="B117" s="239"/>
      <c r="C117" s="239"/>
      <c r="D117" s="239"/>
      <c r="E117" s="239"/>
      <c r="F117" s="239"/>
      <c r="G117" s="239"/>
      <c r="H117" s="239"/>
      <c r="I117" s="239"/>
      <c r="J117" s="239"/>
    </row>
    <row r="118" spans="1:10" ht="15" x14ac:dyDescent="0.25">
      <c r="A118" s="239"/>
      <c r="B118" s="901" t="s">
        <v>80</v>
      </c>
      <c r="C118" s="901"/>
      <c r="D118" s="901"/>
      <c r="E118" s="350" t="s">
        <v>48</v>
      </c>
      <c r="F118" s="351" t="s">
        <v>49</v>
      </c>
      <c r="G118" s="239"/>
      <c r="H118" s="239"/>
      <c r="I118" s="239"/>
      <c r="J118" s="239"/>
    </row>
    <row r="119" spans="1:10" ht="15" x14ac:dyDescent="0.25">
      <c r="A119" s="239"/>
      <c r="B119" s="900" t="s">
        <v>81</v>
      </c>
      <c r="C119" s="900"/>
      <c r="D119" s="900"/>
      <c r="E119" s="352" t="e">
        <f>IF(((SUM(C113:H113)+I96)-SUM(C108:H110))&lt;0,MAX((I30+I35)+(((SUM(C113:H113)+I96)-SUM(C108:H110))),0),(I30+I35))</f>
        <v>#NUM!</v>
      </c>
      <c r="F119" s="353" t="e">
        <f>IF(Kurzantrag!C7&gt;0,Kurzantrag!C7,E119/6)</f>
        <v>#NUM!</v>
      </c>
      <c r="G119" s="239"/>
      <c r="H119" s="239"/>
      <c r="I119" s="239"/>
      <c r="J119" s="239"/>
    </row>
    <row r="120" spans="1:10" ht="15" x14ac:dyDescent="0.25">
      <c r="A120" s="239"/>
      <c r="B120" s="900" t="s">
        <v>82</v>
      </c>
      <c r="C120" s="900"/>
      <c r="D120" s="900"/>
      <c r="E120" s="352" t="e">
        <f>IF((I96+SUM(C113:H114))-SUM(C108:H110)&lt;0,0,(I96+SUM(C113:H114))-SUM(C108:H110))</f>
        <v>#NUM!</v>
      </c>
      <c r="F120" s="353" t="e">
        <f>IF(Kurzantrag!D7&gt;0,Kurzantrag!D7,E120/6)</f>
        <v>#NUM!</v>
      </c>
      <c r="G120" s="239"/>
      <c r="H120" s="239"/>
      <c r="I120" s="239"/>
      <c r="J120" s="239"/>
    </row>
    <row r="121" spans="1:10" x14ac:dyDescent="0.2">
      <c r="A121" s="239"/>
      <c r="B121" s="239"/>
      <c r="C121" s="239"/>
      <c r="D121" s="239"/>
      <c r="E121" s="239"/>
      <c r="F121" s="239"/>
      <c r="G121" s="239"/>
      <c r="H121" s="239"/>
      <c r="I121" s="239"/>
      <c r="J121" s="239"/>
    </row>
    <row r="122" spans="1:10" x14ac:dyDescent="0.2">
      <c r="A122" s="239"/>
      <c r="B122" s="239"/>
      <c r="C122" s="239"/>
      <c r="D122" s="239"/>
      <c r="E122" s="239"/>
      <c r="F122" s="239"/>
      <c r="G122" s="239"/>
      <c r="H122" s="239"/>
      <c r="I122" s="239"/>
      <c r="J122" s="239"/>
    </row>
    <row r="123" spans="1:10" x14ac:dyDescent="0.2">
      <c r="A123" s="239"/>
      <c r="B123" s="239"/>
      <c r="C123" s="239"/>
      <c r="D123" s="239"/>
      <c r="E123" s="239"/>
      <c r="F123" s="239"/>
      <c r="G123" s="239"/>
      <c r="H123" s="239"/>
      <c r="I123" s="239"/>
      <c r="J123" s="239"/>
    </row>
    <row r="124" spans="1:10" x14ac:dyDescent="0.2">
      <c r="A124" s="239"/>
      <c r="B124" s="239"/>
      <c r="C124" s="239"/>
      <c r="D124" s="239"/>
      <c r="E124" s="239"/>
      <c r="F124" s="239"/>
      <c r="G124" s="239"/>
      <c r="H124" s="239"/>
      <c r="I124" s="239"/>
      <c r="J124" s="239"/>
    </row>
    <row r="125" spans="1:10" x14ac:dyDescent="0.2">
      <c r="A125" s="127"/>
      <c r="B125" s="127"/>
      <c r="C125" s="127"/>
      <c r="D125" s="127"/>
      <c r="E125" s="127"/>
      <c r="F125" s="127"/>
      <c r="G125" s="127"/>
      <c r="H125" s="127"/>
      <c r="I125" s="127"/>
      <c r="J125" s="127"/>
    </row>
    <row r="126" spans="1:10" x14ac:dyDescent="0.2">
      <c r="A126" s="127"/>
      <c r="B126" s="127"/>
      <c r="C126" s="127"/>
      <c r="D126" s="127"/>
      <c r="E126" s="127"/>
      <c r="F126" s="127"/>
      <c r="G126" s="127"/>
      <c r="H126" s="127"/>
      <c r="I126" s="127"/>
      <c r="J126" s="127"/>
    </row>
    <row r="127" spans="1:10" x14ac:dyDescent="0.2">
      <c r="A127" s="2"/>
      <c r="B127" s="2"/>
      <c r="C127" s="2"/>
      <c r="D127" s="2"/>
      <c r="E127" s="2"/>
      <c r="F127" s="2"/>
      <c r="G127" s="2"/>
      <c r="H127" s="2"/>
      <c r="I127" s="2"/>
      <c r="J127" s="2"/>
    </row>
    <row r="128" spans="1:10" x14ac:dyDescent="0.2">
      <c r="A128" s="2"/>
      <c r="B128" s="2"/>
      <c r="C128" s="2"/>
      <c r="D128" s="2"/>
      <c r="E128" s="2"/>
      <c r="F128" s="2"/>
      <c r="G128" s="2"/>
      <c r="H128" s="2"/>
      <c r="I128" s="2"/>
      <c r="J128" s="2"/>
    </row>
    <row r="129" spans="1:10" x14ac:dyDescent="0.2">
      <c r="A129" s="2"/>
      <c r="B129" s="2"/>
      <c r="C129" s="2"/>
      <c r="D129" s="2"/>
      <c r="E129" s="2"/>
      <c r="F129" s="2"/>
      <c r="G129" s="2"/>
      <c r="H129" s="2"/>
      <c r="I129" s="2"/>
      <c r="J129" s="2"/>
    </row>
    <row r="130" spans="1:10" x14ac:dyDescent="0.2">
      <c r="A130" s="2"/>
      <c r="B130" s="2"/>
      <c r="C130" s="2"/>
      <c r="D130" s="2"/>
      <c r="E130" s="2"/>
      <c r="F130" s="2"/>
      <c r="G130" s="2"/>
      <c r="H130" s="2"/>
      <c r="I130" s="2"/>
      <c r="J130" s="2"/>
    </row>
  </sheetData>
  <sheetProtection algorithmName="SHA-512" hashValue="a3SfqL6MIEu/IYIA+ZwitXACKj47/wWYvd7UmrpyUwd1wz4uMvIdj9PwQz8URz+QuKNSVLd9yfqXNbwRpOJ8UQ==" saltValue="AuODOk5cEyGzFLSUqEjq2w==" spinCount="100000" sheet="1" formatCells="0" formatColumns="0" formatRows="0" insertColumns="0" insertRows="0" insertHyperlinks="0" deleteColumns="0" deleteRows="0" sort="0" pivotTables="0"/>
  <mergeCells count="106">
    <mergeCell ref="A27:B27"/>
    <mergeCell ref="A115:B115"/>
    <mergeCell ref="I3:J3"/>
    <mergeCell ref="C1:H1"/>
    <mergeCell ref="A3:B3"/>
    <mergeCell ref="H113:H114"/>
    <mergeCell ref="C113:C114"/>
    <mergeCell ref="D113:D114"/>
    <mergeCell ref="E113:E114"/>
    <mergeCell ref="F113:F114"/>
    <mergeCell ref="G113:G114"/>
    <mergeCell ref="D110:D111"/>
    <mergeCell ref="E110:E111"/>
    <mergeCell ref="F110:F111"/>
    <mergeCell ref="G110:G111"/>
    <mergeCell ref="H110:H111"/>
    <mergeCell ref="D108:D109"/>
    <mergeCell ref="E108:E109"/>
    <mergeCell ref="F108:F109"/>
    <mergeCell ref="A71:B71"/>
    <mergeCell ref="G108:G109"/>
    <mergeCell ref="H108:H109"/>
    <mergeCell ref="A21:B21"/>
    <mergeCell ref="A20:B20"/>
    <mergeCell ref="A37:B37"/>
    <mergeCell ref="A38:B38"/>
    <mergeCell ref="A54:B54"/>
    <mergeCell ref="A40:B40"/>
    <mergeCell ref="A51:B51"/>
    <mergeCell ref="A53:B53"/>
    <mergeCell ref="A41:B41"/>
    <mergeCell ref="A43:B43"/>
    <mergeCell ref="A44:B44"/>
    <mergeCell ref="A45:B45"/>
    <mergeCell ref="A46:B46"/>
    <mergeCell ref="A39:B39"/>
    <mergeCell ref="A28:B28"/>
    <mergeCell ref="A29:B29"/>
    <mergeCell ref="A30:B30"/>
    <mergeCell ref="C36:H36"/>
    <mergeCell ref="A33:B33"/>
    <mergeCell ref="A34:B34"/>
    <mergeCell ref="A35:B35"/>
    <mergeCell ref="A2:B2"/>
    <mergeCell ref="A4:B4"/>
    <mergeCell ref="A5:B5"/>
    <mergeCell ref="A7:B7"/>
    <mergeCell ref="A26:B26"/>
    <mergeCell ref="A6:B6"/>
    <mergeCell ref="A24:B24"/>
    <mergeCell ref="A23:B23"/>
    <mergeCell ref="A9:B9"/>
    <mergeCell ref="A10:B10"/>
    <mergeCell ref="A12:B12"/>
    <mergeCell ref="A14:B14"/>
    <mergeCell ref="A18:B18"/>
    <mergeCell ref="A22:B22"/>
    <mergeCell ref="A15:B15"/>
    <mergeCell ref="A16:B16"/>
    <mergeCell ref="A17:B17"/>
    <mergeCell ref="A19:B19"/>
    <mergeCell ref="B120:D120"/>
    <mergeCell ref="B118:D118"/>
    <mergeCell ref="A88:B88"/>
    <mergeCell ref="A89:B89"/>
    <mergeCell ref="A90:B90"/>
    <mergeCell ref="A91:B91"/>
    <mergeCell ref="A92:B92"/>
    <mergeCell ref="B119:D119"/>
    <mergeCell ref="A108:B108"/>
    <mergeCell ref="A109:B109"/>
    <mergeCell ref="A111:B111"/>
    <mergeCell ref="A110:B110"/>
    <mergeCell ref="A113:B113"/>
    <mergeCell ref="A114:B114"/>
    <mergeCell ref="C108:C109"/>
    <mergeCell ref="C110:C111"/>
    <mergeCell ref="A48:B48"/>
    <mergeCell ref="A49:B49"/>
    <mergeCell ref="A50:B50"/>
    <mergeCell ref="A69:B69"/>
    <mergeCell ref="A55:B55"/>
    <mergeCell ref="A56:B56"/>
    <mergeCell ref="A58:B58"/>
    <mergeCell ref="A59:B59"/>
    <mergeCell ref="A60:B60"/>
    <mergeCell ref="A61:B61"/>
    <mergeCell ref="A63:B63"/>
    <mergeCell ref="A64:B64"/>
    <mergeCell ref="A65:B65"/>
    <mergeCell ref="A66:B66"/>
    <mergeCell ref="A68:B68"/>
    <mergeCell ref="A83:B83"/>
    <mergeCell ref="A84:B84"/>
    <mergeCell ref="A85:B85"/>
    <mergeCell ref="A78:B78"/>
    <mergeCell ref="A79:B79"/>
    <mergeCell ref="A80:B80"/>
    <mergeCell ref="A81:B81"/>
    <mergeCell ref="A82:B82"/>
    <mergeCell ref="A72:B72"/>
    <mergeCell ref="A73:B73"/>
    <mergeCell ref="A74:B74"/>
    <mergeCell ref="A76:B76"/>
    <mergeCell ref="A77:B77"/>
    <mergeCell ref="A75:B75"/>
  </mergeCells>
  <conditionalFormatting sqref="C4:H7">
    <cfRule type="cellIs" dxfId="40" priority="6" operator="greaterThan">
      <formula>0</formula>
    </cfRule>
  </conditionalFormatting>
  <conditionalFormatting sqref="C38:H39 C43:H44 C48:H49 C53:H54 C58:H59 C63:H64">
    <cfRule type="cellIs" dxfId="39" priority="5" operator="greaterThan">
      <formula>0</formula>
    </cfRule>
  </conditionalFormatting>
  <conditionalFormatting sqref="C72:H72">
    <cfRule type="cellIs" dxfId="38" priority="1" operator="greaterThan">
      <formula>0</formula>
    </cfRule>
    <cfRule type="cellIs" dxfId="37" priority="4" operator="greaterThan">
      <formula>0</formula>
    </cfRule>
  </conditionalFormatting>
  <conditionalFormatting sqref="C84:H84">
    <cfRule type="cellIs" dxfId="36" priority="3" operator="greaterThan">
      <formula>0</formula>
    </cfRule>
  </conditionalFormatting>
  <conditionalFormatting sqref="C68:H68">
    <cfRule type="cellIs" dxfId="35" priority="2" operator="greaterThan">
      <formula>0</formula>
    </cfRule>
  </conditionalFormatting>
  <dataValidations count="2">
    <dataValidation type="list" allowBlank="1" showInputMessage="1" showErrorMessage="1" sqref="C3:H3" xr:uid="{00000000-0002-0000-0400-000000000000}">
      <formula1>".,ja,nein"</formula1>
    </dataValidation>
    <dataValidation type="decimal" allowBlank="1" showInputMessage="1" showErrorMessage="1" error="Der eingegebene Wert ist unzulässig. Bitte geben Sie eine Zahl ein, die größer 0 ist." sqref="C9:H12 C19:H24 C15:H17 C40:H41 C45:H46 C50:H51 C55:H56 C60:H61 C69:H69 C65:H66 C73:H77 C79:H81 C85:H85 C89:H91 C108:H111 C113:H114" xr:uid="{00000000-0002-0000-0400-000001000000}">
      <formula1>0</formula1>
      <formula2>1000000</formula2>
    </dataValidation>
  </dataValidations>
  <pageMargins left="0.70866141732283472" right="0.70866141732283472" top="0.8666666666666667" bottom="0.78740157480314965" header="0.31496062992125984" footer="0.31496062992125984"/>
  <pageSetup paperSize="9" orientation="landscape" r:id="rId1"/>
  <headerFooter>
    <oddHeader>&amp;L&amp;"Arial,Fett"&amp;U2. Ermittlung des anzurechnenden Einkommens des Antragstellers:
&amp;R&amp;D</oddHeader>
    <oddFooter>&amp;R&amp;P</oddFooter>
  </headerFooter>
  <rowBreaks count="2" manualBreakCount="2">
    <brk id="35" max="16383" man="1"/>
    <brk id="69" max="9"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J132"/>
  <sheetViews>
    <sheetView showGridLines="0" zoomScaleNormal="100" workbookViewId="0">
      <selection activeCell="C9" sqref="C9"/>
    </sheetView>
  </sheetViews>
  <sheetFormatPr baseColWidth="10" defaultRowHeight="14.25" x14ac:dyDescent="0.2"/>
  <cols>
    <col min="1" max="16384" width="11" style="1"/>
  </cols>
  <sheetData>
    <row r="1" spans="1:10" ht="15" x14ac:dyDescent="0.25">
      <c r="A1" s="65"/>
      <c r="B1" s="2"/>
      <c r="C1" s="952" t="s">
        <v>46</v>
      </c>
      <c r="D1" s="952"/>
      <c r="E1" s="952"/>
      <c r="F1" s="952"/>
      <c r="G1" s="952"/>
      <c r="H1" s="952"/>
      <c r="I1" s="2"/>
      <c r="J1" s="2"/>
    </row>
    <row r="2" spans="1:10" ht="15" x14ac:dyDescent="0.25">
      <c r="A2" s="915" t="s">
        <v>29</v>
      </c>
      <c r="B2" s="915"/>
      <c r="C2" s="255" t="e">
        <f>EDATE(BG!D2,-6)</f>
        <v>#NUM!</v>
      </c>
      <c r="D2" s="255" t="e">
        <f>EDATE(BG!D2,-5)</f>
        <v>#NUM!</v>
      </c>
      <c r="E2" s="255" t="e">
        <f>EDATE(BG!D2,-4)</f>
        <v>#NUM!</v>
      </c>
      <c r="F2" s="255" t="e">
        <f>EDATE(BG!D2,-3)</f>
        <v>#NUM!</v>
      </c>
      <c r="G2" s="255" t="e">
        <f>EDATE(BG!D2,-2)</f>
        <v>#NUM!</v>
      </c>
      <c r="H2" s="255" t="e">
        <f>EDATE(BG!D2,-1)</f>
        <v>#NUM!</v>
      </c>
      <c r="I2" s="292"/>
      <c r="J2" s="292"/>
    </row>
    <row r="3" spans="1:10" x14ac:dyDescent="0.2">
      <c r="A3" s="941" t="s">
        <v>596</v>
      </c>
      <c r="B3" s="941"/>
      <c r="C3" s="244" t="s">
        <v>185</v>
      </c>
      <c r="D3" s="244" t="s">
        <v>185</v>
      </c>
      <c r="E3" s="244" t="s">
        <v>185</v>
      </c>
      <c r="F3" s="244" t="s">
        <v>185</v>
      </c>
      <c r="G3" s="244" t="s">
        <v>185</v>
      </c>
      <c r="H3" s="244" t="s">
        <v>185</v>
      </c>
      <c r="I3" s="954"/>
      <c r="J3" s="954"/>
    </row>
    <row r="4" spans="1:10" x14ac:dyDescent="0.2">
      <c r="A4" s="916" t="s">
        <v>47</v>
      </c>
      <c r="B4" s="916"/>
      <c r="C4" s="293">
        <f>MEG!B44-MEG!B46</f>
        <v>0</v>
      </c>
      <c r="D4" s="293">
        <f>MEG!B48-MEG!B50</f>
        <v>0</v>
      </c>
      <c r="E4" s="293">
        <f>MEG!B52-MEG!B54</f>
        <v>0</v>
      </c>
      <c r="F4" s="293">
        <f>MEG!B56-MEG!B58</f>
        <v>0</v>
      </c>
      <c r="G4" s="293">
        <f>MEG!B60-MEG!B62</f>
        <v>0</v>
      </c>
      <c r="H4" s="293">
        <f>MEG!B64-MEG!B66</f>
        <v>0</v>
      </c>
      <c r="I4" s="83" t="e">
        <f>SUM(C4:H4)/6+H13</f>
        <v>#NUM!</v>
      </c>
      <c r="J4" s="83"/>
    </row>
    <row r="5" spans="1:10" x14ac:dyDescent="0.2">
      <c r="A5" s="917" t="s">
        <v>38</v>
      </c>
      <c r="B5" s="917"/>
      <c r="C5" s="295">
        <f>MEG!B45-MEG!B47</f>
        <v>0</v>
      </c>
      <c r="D5" s="295">
        <f>MEG!B49-MEG!B51</f>
        <v>0</v>
      </c>
      <c r="E5" s="295">
        <f>MEG!B53-MEG!B55</f>
        <v>0</v>
      </c>
      <c r="F5" s="295">
        <f>MEG!B57-MEG!B59</f>
        <v>0</v>
      </c>
      <c r="G5" s="295">
        <f>MEG!B61-MEG!B63</f>
        <v>0</v>
      </c>
      <c r="H5" s="295">
        <f>MEG!B65-MEG!B67</f>
        <v>0</v>
      </c>
      <c r="I5" s="83"/>
      <c r="J5" s="83"/>
    </row>
    <row r="6" spans="1:10" x14ac:dyDescent="0.2">
      <c r="A6" s="919" t="s">
        <v>242</v>
      </c>
      <c r="B6" s="920"/>
      <c r="C6" s="242"/>
      <c r="D6" s="242"/>
      <c r="E6" s="242"/>
      <c r="F6" s="242"/>
      <c r="G6" s="242"/>
      <c r="H6" s="242"/>
      <c r="I6" s="81"/>
      <c r="J6" s="81"/>
    </row>
    <row r="7" spans="1:10" x14ac:dyDescent="0.2">
      <c r="A7" s="918" t="s">
        <v>243</v>
      </c>
      <c r="B7" s="918"/>
      <c r="C7" s="296">
        <f>MEG!C44+MEG!C45</f>
        <v>0</v>
      </c>
      <c r="D7" s="296">
        <f>MEG!C48+MEG!C49</f>
        <v>0</v>
      </c>
      <c r="E7" s="296">
        <f>MEG!C52+MEG!C53</f>
        <v>0</v>
      </c>
      <c r="F7" s="296">
        <f>MEG!C56+MEG!C57</f>
        <v>0</v>
      </c>
      <c r="G7" s="296">
        <f>MEG!C60+MEG!C61</f>
        <v>0</v>
      </c>
      <c r="H7" s="296">
        <f>MEG!C64+MEG!C65</f>
        <v>0</v>
      </c>
      <c r="I7" s="83"/>
      <c r="J7" s="83"/>
    </row>
    <row r="8" spans="1:10" x14ac:dyDescent="0.2">
      <c r="A8" s="239"/>
      <c r="B8" s="239"/>
      <c r="C8" s="239"/>
      <c r="D8" s="239"/>
      <c r="E8" s="142" t="s">
        <v>48</v>
      </c>
      <c r="F8" s="83">
        <f>SUM(C7:H7)</f>
        <v>0</v>
      </c>
      <c r="G8" s="81" t="s">
        <v>49</v>
      </c>
      <c r="H8" s="83" t="e">
        <f>ROUND((F8/MEG!H46),2)</f>
        <v>#NUM!</v>
      </c>
      <c r="I8" s="81" t="s">
        <v>431</v>
      </c>
      <c r="J8" s="81"/>
    </row>
    <row r="9" spans="1:10" x14ac:dyDescent="0.2">
      <c r="A9" s="921" t="s">
        <v>50</v>
      </c>
      <c r="B9" s="922"/>
      <c r="C9" s="297"/>
      <c r="D9" s="297"/>
      <c r="E9" s="297"/>
      <c r="F9" s="297"/>
      <c r="G9" s="297"/>
      <c r="H9" s="297"/>
      <c r="I9" s="179">
        <f>MEG!E46</f>
        <v>0</v>
      </c>
      <c r="J9" s="83"/>
    </row>
    <row r="10" spans="1:10" x14ac:dyDescent="0.2">
      <c r="A10" s="923" t="s">
        <v>51</v>
      </c>
      <c r="B10" s="924"/>
      <c r="C10" s="298"/>
      <c r="D10" s="298"/>
      <c r="E10" s="298"/>
      <c r="F10" s="298"/>
      <c r="G10" s="298"/>
      <c r="H10" s="298"/>
      <c r="I10" s="83" t="s">
        <v>432</v>
      </c>
      <c r="J10" s="83"/>
    </row>
    <row r="11" spans="1:10" x14ac:dyDescent="0.2">
      <c r="A11" s="241"/>
      <c r="B11" s="299"/>
      <c r="C11" s="300"/>
      <c r="D11" s="300"/>
      <c r="E11" s="300"/>
      <c r="F11" s="300"/>
      <c r="G11" s="300"/>
      <c r="H11" s="300"/>
      <c r="I11" s="179" t="e">
        <f>IF(MEG!E47=ISBLANK(0),H2+1,MEG!E47)</f>
        <v>#NUM!</v>
      </c>
      <c r="J11" s="81"/>
    </row>
    <row r="12" spans="1:10" x14ac:dyDescent="0.2">
      <c r="A12" s="908" t="s">
        <v>52</v>
      </c>
      <c r="B12" s="908"/>
      <c r="C12" s="301"/>
      <c r="D12" s="301"/>
      <c r="E12" s="301"/>
      <c r="F12" s="301"/>
      <c r="G12" s="301"/>
      <c r="H12" s="301"/>
      <c r="I12" s="354"/>
      <c r="J12" s="354"/>
    </row>
    <row r="13" spans="1:10" x14ac:dyDescent="0.2">
      <c r="A13" s="239"/>
      <c r="B13" s="292"/>
      <c r="C13" s="142" t="s">
        <v>48</v>
      </c>
      <c r="D13" s="83">
        <f>SUM(C12:H12,C11:H11)</f>
        <v>0</v>
      </c>
      <c r="E13" s="81" t="s">
        <v>49</v>
      </c>
      <c r="F13" s="83" t="e">
        <f>ROUND((D13/MEG!H46),2)</f>
        <v>#NUM!</v>
      </c>
      <c r="G13" s="90" t="s">
        <v>53</v>
      </c>
      <c r="H13" s="91" t="e">
        <f>IF((H8-F13)&lt;0,0,(H8-F13))</f>
        <v>#NUM!</v>
      </c>
      <c r="I13" s="202" t="e">
        <f>IF(I9&gt;C2,0,IF(I11&lt;C2,0,H13))</f>
        <v>#NUM!</v>
      </c>
      <c r="J13" s="202"/>
    </row>
    <row r="14" spans="1:10" x14ac:dyDescent="0.2">
      <c r="A14" s="925" t="s">
        <v>54</v>
      </c>
      <c r="B14" s="925"/>
      <c r="C14" s="302">
        <f t="shared" ref="C14:H14" si="0">SUM(C17,(C15*ROUND(C16,0)*0.2))</f>
        <v>0</v>
      </c>
      <c r="D14" s="302">
        <f t="shared" si="0"/>
        <v>0</v>
      </c>
      <c r="E14" s="302">
        <f t="shared" si="0"/>
        <v>0</v>
      </c>
      <c r="F14" s="302">
        <f t="shared" si="0"/>
        <v>0</v>
      </c>
      <c r="G14" s="302">
        <f t="shared" si="0"/>
        <v>0</v>
      </c>
      <c r="H14" s="302">
        <f t="shared" si="0"/>
        <v>0</v>
      </c>
      <c r="I14" s="202" t="e">
        <f>IF(I9&gt;D2,0,IF(I11&lt;D2,0,H13))</f>
        <v>#NUM!</v>
      </c>
      <c r="J14" s="202"/>
    </row>
    <row r="15" spans="1:10" x14ac:dyDescent="0.2">
      <c r="A15" s="927" t="s">
        <v>234</v>
      </c>
      <c r="B15" s="928"/>
      <c r="C15" s="303"/>
      <c r="D15" s="303"/>
      <c r="E15" s="303"/>
      <c r="F15" s="303"/>
      <c r="G15" s="303"/>
      <c r="H15" s="303"/>
      <c r="I15" s="202" t="e">
        <f>IF(I9&gt;E2,0,IF(I11&lt;E2,0,H13))</f>
        <v>#NUM!</v>
      </c>
      <c r="J15" s="202"/>
    </row>
    <row r="16" spans="1:10" x14ac:dyDescent="0.2">
      <c r="A16" s="927" t="s">
        <v>235</v>
      </c>
      <c r="B16" s="928"/>
      <c r="C16" s="303"/>
      <c r="D16" s="303"/>
      <c r="E16" s="303"/>
      <c r="F16" s="303"/>
      <c r="G16" s="303"/>
      <c r="H16" s="303"/>
      <c r="I16" s="202" t="e">
        <f>IF(I9&gt;F2,0,IF(I11&lt;F2,0,H13))</f>
        <v>#NUM!</v>
      </c>
      <c r="J16" s="202"/>
    </row>
    <row r="17" spans="1:10" x14ac:dyDescent="0.2">
      <c r="A17" s="929" t="s">
        <v>237</v>
      </c>
      <c r="B17" s="930"/>
      <c r="C17" s="304"/>
      <c r="D17" s="304"/>
      <c r="E17" s="304"/>
      <c r="F17" s="304"/>
      <c r="G17" s="304"/>
      <c r="H17" s="304"/>
      <c r="I17" s="202" t="e">
        <f>IF(I9&gt;G2,0,IF(I11&lt;G2,0,H13))</f>
        <v>#NUM!</v>
      </c>
      <c r="J17" s="202"/>
    </row>
    <row r="18" spans="1:10" x14ac:dyDescent="0.2">
      <c r="A18" s="926" t="s">
        <v>55</v>
      </c>
      <c r="B18" s="926"/>
      <c r="C18" s="305">
        <f t="shared" ref="C18:H18" si="1">C19*C20</f>
        <v>0</v>
      </c>
      <c r="D18" s="305">
        <f t="shared" si="1"/>
        <v>0</v>
      </c>
      <c r="E18" s="305">
        <f t="shared" si="1"/>
        <v>0</v>
      </c>
      <c r="F18" s="305">
        <f t="shared" si="1"/>
        <v>0</v>
      </c>
      <c r="G18" s="305">
        <f t="shared" si="1"/>
        <v>0</v>
      </c>
      <c r="H18" s="305">
        <f t="shared" si="1"/>
        <v>0</v>
      </c>
      <c r="I18" s="202" t="e">
        <f>IF(I9&gt;H2,0,IF(I11&lt;H2,0,H13))</f>
        <v>#NUM!</v>
      </c>
      <c r="J18" s="202"/>
    </row>
    <row r="19" spans="1:10" x14ac:dyDescent="0.2">
      <c r="A19" s="898" t="s">
        <v>238</v>
      </c>
      <c r="B19" s="899"/>
      <c r="C19" s="357"/>
      <c r="D19" s="357"/>
      <c r="E19" s="357"/>
      <c r="F19" s="357"/>
      <c r="G19" s="357"/>
      <c r="H19" s="357"/>
      <c r="I19" s="355"/>
      <c r="J19" s="355"/>
    </row>
    <row r="20" spans="1:10" x14ac:dyDescent="0.2">
      <c r="A20" s="942" t="s">
        <v>239</v>
      </c>
      <c r="B20" s="943"/>
      <c r="C20" s="306"/>
      <c r="D20" s="306"/>
      <c r="E20" s="306"/>
      <c r="F20" s="306"/>
      <c r="G20" s="306"/>
      <c r="H20" s="306"/>
      <c r="I20" s="355"/>
      <c r="J20" s="355"/>
    </row>
    <row r="21" spans="1:10" x14ac:dyDescent="0.2">
      <c r="A21" s="937" t="s">
        <v>236</v>
      </c>
      <c r="B21" s="938"/>
      <c r="C21" s="307"/>
      <c r="D21" s="307"/>
      <c r="E21" s="307"/>
      <c r="F21" s="307"/>
      <c r="G21" s="307"/>
      <c r="H21" s="307"/>
      <c r="I21" s="355"/>
      <c r="J21" s="83"/>
    </row>
    <row r="22" spans="1:10" x14ac:dyDescent="0.2">
      <c r="A22" s="903" t="s">
        <v>56</v>
      </c>
      <c r="B22" s="903"/>
      <c r="C22" s="307"/>
      <c r="D22" s="307"/>
      <c r="E22" s="307"/>
      <c r="F22" s="307"/>
      <c r="G22" s="307"/>
      <c r="H22" s="307"/>
      <c r="I22" s="355"/>
      <c r="J22" s="83"/>
    </row>
    <row r="23" spans="1:10" x14ac:dyDescent="0.2">
      <c r="A23" s="903" t="s">
        <v>57</v>
      </c>
      <c r="B23" s="903"/>
      <c r="C23" s="307"/>
      <c r="D23" s="307"/>
      <c r="E23" s="307"/>
      <c r="F23" s="307"/>
      <c r="G23" s="307"/>
      <c r="H23" s="307"/>
      <c r="I23" s="355"/>
      <c r="J23" s="83"/>
    </row>
    <row r="24" spans="1:10" x14ac:dyDescent="0.2">
      <c r="A24" s="903" t="s">
        <v>58</v>
      </c>
      <c r="B24" s="903"/>
      <c r="C24" s="308"/>
      <c r="D24" s="308"/>
      <c r="E24" s="308"/>
      <c r="F24" s="308"/>
      <c r="G24" s="308"/>
      <c r="H24" s="308"/>
      <c r="I24" s="355"/>
      <c r="J24" s="83"/>
    </row>
    <row r="25" spans="1:10" x14ac:dyDescent="0.2">
      <c r="A25" s="239"/>
      <c r="B25" s="239"/>
      <c r="C25" s="93" t="e">
        <f>C4+I13</f>
        <v>#NUM!</v>
      </c>
      <c r="D25" s="93" t="e">
        <f>D4+I14</f>
        <v>#NUM!</v>
      </c>
      <c r="E25" s="93" t="e">
        <f>E4+I15</f>
        <v>#NUM!</v>
      </c>
      <c r="F25" s="93" t="e">
        <f>F4+I16</f>
        <v>#NUM!</v>
      </c>
      <c r="G25" s="93" t="e">
        <f>G4+I17</f>
        <v>#NUM!</v>
      </c>
      <c r="H25" s="93" t="e">
        <f>H4+I18</f>
        <v>#NUM!</v>
      </c>
      <c r="I25" s="84"/>
      <c r="J25" s="84"/>
    </row>
    <row r="26" spans="1:10" x14ac:dyDescent="0.2">
      <c r="A26" s="903" t="s">
        <v>59</v>
      </c>
      <c r="B26" s="903"/>
      <c r="C26" s="287" t="e">
        <f>IF(C3="ja",Grundfreibeträge!L12,Grundfreibeträge!K12)</f>
        <v>#NUM!</v>
      </c>
      <c r="D26" s="287" t="e">
        <f>IF(D3="ja",Grundfreibeträge!L13,Grundfreibeträge!K13)</f>
        <v>#NUM!</v>
      </c>
      <c r="E26" s="287" t="e">
        <f>IF(E3="ja",Grundfreibeträge!L14,Grundfreibeträge!K14)</f>
        <v>#NUM!</v>
      </c>
      <c r="F26" s="287" t="e">
        <f>IF(F3="ja",Grundfreibeträge!L15,Grundfreibeträge!K15)</f>
        <v>#NUM!</v>
      </c>
      <c r="G26" s="287" t="e">
        <f>IF(G3="ja",Grundfreibeträge!L16,Grundfreibeträge!K16)</f>
        <v>#NUM!</v>
      </c>
      <c r="H26" s="287" t="e">
        <f>IF(H3="ja",Grundfreibeträge!L17,Grundfreibeträge!K17)</f>
        <v>#NUM!</v>
      </c>
      <c r="I26" s="93" t="e">
        <f>IF(I4&gt;=100,SUM(C26:H29)/6,I4)</f>
        <v>#NUM!</v>
      </c>
      <c r="J26" s="84"/>
    </row>
    <row r="27" spans="1:10" x14ac:dyDescent="0.2">
      <c r="A27" s="937" t="s">
        <v>597</v>
      </c>
      <c r="B27" s="938"/>
      <c r="C27" s="287" t="e">
        <f>MAX((MIN(C25,520)-C26)*0.2,0)</f>
        <v>#NUM!</v>
      </c>
      <c r="D27" s="287" t="e">
        <f t="shared" ref="D27:H27" si="2">MAX((MIN(D25,520)-D26)*0.2,0)</f>
        <v>#NUM!</v>
      </c>
      <c r="E27" s="287" t="e">
        <f t="shared" si="2"/>
        <v>#NUM!</v>
      </c>
      <c r="F27" s="287" t="e">
        <f t="shared" si="2"/>
        <v>#NUM!</v>
      </c>
      <c r="G27" s="287" t="e">
        <f t="shared" si="2"/>
        <v>#NUM!</v>
      </c>
      <c r="H27" s="287" t="e">
        <f t="shared" si="2"/>
        <v>#NUM!</v>
      </c>
      <c r="I27" s="93"/>
      <c r="J27" s="84"/>
    </row>
    <row r="28" spans="1:10" x14ac:dyDescent="0.2">
      <c r="A28" s="903" t="s">
        <v>60</v>
      </c>
      <c r="B28" s="903"/>
      <c r="C28" s="287" t="e">
        <f>MAX(MIN(C25-520,480)*0.3,0)</f>
        <v>#NUM!</v>
      </c>
      <c r="D28" s="287" t="e">
        <f t="shared" ref="D28:H28" si="3">MAX(MIN(D25-520,480)*0.3,0)</f>
        <v>#NUM!</v>
      </c>
      <c r="E28" s="287" t="e">
        <f t="shared" si="3"/>
        <v>#NUM!</v>
      </c>
      <c r="F28" s="287" t="e">
        <f t="shared" si="3"/>
        <v>#NUM!</v>
      </c>
      <c r="G28" s="287" t="e">
        <f t="shared" si="3"/>
        <v>#NUM!</v>
      </c>
      <c r="H28" s="287" t="e">
        <f t="shared" si="3"/>
        <v>#NUM!</v>
      </c>
      <c r="I28" s="84"/>
      <c r="J28" s="84"/>
    </row>
    <row r="29" spans="1:10" x14ac:dyDescent="0.2">
      <c r="A29" s="903" t="s">
        <v>61</v>
      </c>
      <c r="B29" s="903"/>
      <c r="C29" s="287" t="e">
        <f>IF(Grundfreibeträge!Q6="Kind ü18",Grundfreibeträge!M12,IF(C25&lt;1000,0,IF(C25&gt;=1500,50,ROUND((C25-1000)*10%,2))))</f>
        <v>#NUM!</v>
      </c>
      <c r="D29" s="287" t="e">
        <f>IF(Grundfreibeträge!Q6="Kind ü18",Grundfreibeträge!M13,IF(D25&lt;1000,0,IF(D25&gt;=1500,50,ROUND((D25-1000)*10%,2))))</f>
        <v>#NUM!</v>
      </c>
      <c r="E29" s="287" t="e">
        <f>IF(Grundfreibeträge!Q6="Kind ü18",Grundfreibeträge!M14,IF(E25&lt;1000,0,IF(E25&gt;=1500,50,ROUND((E25-1000)*10%,2))))</f>
        <v>#NUM!</v>
      </c>
      <c r="F29" s="287" t="e">
        <f>IF(Grundfreibeträge!Q6="Kind ü18",Grundfreibeträge!M15,IF(F25&lt;1000,0,IF(F25&gt;=1500,50,ROUND((F25-1000)*10%,2))))</f>
        <v>#NUM!</v>
      </c>
      <c r="G29" s="287" t="e">
        <f>IF(Grundfreibeträge!Q6="Kind ü18",Grundfreibeträge!M16,IF(G25&lt;1000,0,IF(G25&gt;=1500,50,ROUND((G25-1000)*10%,2))))</f>
        <v>#NUM!</v>
      </c>
      <c r="H29" s="287" t="e">
        <f>IF(Grundfreibeträge!Q6="Kind ü18",Grundfreibeträge!M17,IF(H25&lt;1000,0,IF(H25&gt;=1500,50,ROUND((H25-1000)*10%,2))))</f>
        <v>#NUM!</v>
      </c>
      <c r="I29" s="288" t="s">
        <v>48</v>
      </c>
      <c r="J29" s="239"/>
    </row>
    <row r="30" spans="1:10" x14ac:dyDescent="0.2">
      <c r="A30" s="903" t="s">
        <v>62</v>
      </c>
      <c r="B30" s="903"/>
      <c r="C30" s="287" t="e">
        <f>IF(C25=0,0,MAX(C25-C9-C26-C27-C28-C29,0))</f>
        <v>#NUM!</v>
      </c>
      <c r="D30" s="287" t="e">
        <f t="shared" ref="D30:H30" si="4">IF(D25=0,0,MAX(D25-D9-D26-D27-D28-D29,0))</f>
        <v>#NUM!</v>
      </c>
      <c r="E30" s="287" t="e">
        <f t="shared" si="4"/>
        <v>#NUM!</v>
      </c>
      <c r="F30" s="287" t="e">
        <f t="shared" si="4"/>
        <v>#NUM!</v>
      </c>
      <c r="G30" s="287" t="e">
        <f t="shared" si="4"/>
        <v>#NUM!</v>
      </c>
      <c r="H30" s="287" t="e">
        <f t="shared" si="4"/>
        <v>#NUM!</v>
      </c>
      <c r="I30" s="287" t="e">
        <f>SUM(C30:H30)</f>
        <v>#NUM!</v>
      </c>
      <c r="J30" s="239"/>
    </row>
    <row r="31" spans="1:10" x14ac:dyDescent="0.2">
      <c r="A31" s="239"/>
      <c r="B31" s="312"/>
      <c r="C31" s="83" t="e">
        <f>C4+C5+I13</f>
        <v>#NUM!</v>
      </c>
      <c r="D31" s="83" t="e">
        <f>D4+D5+I14</f>
        <v>#NUM!</v>
      </c>
      <c r="E31" s="83" t="e">
        <f>E4+E5+I15</f>
        <v>#NUM!</v>
      </c>
      <c r="F31" s="83" t="e">
        <f>F4+F5+I16</f>
        <v>#NUM!</v>
      </c>
      <c r="G31" s="83" t="e">
        <f>G4+G5+I17</f>
        <v>#NUM!</v>
      </c>
      <c r="H31" s="83" t="e">
        <f>H4+H5+I18</f>
        <v>#NUM!</v>
      </c>
      <c r="I31" s="294"/>
      <c r="J31" s="239"/>
    </row>
    <row r="32" spans="1:10" ht="15" x14ac:dyDescent="0.25">
      <c r="A32" s="239"/>
      <c r="B32" s="239"/>
      <c r="C32" s="83" t="e">
        <f t="shared" ref="C32:H32" si="5">IF(C31=0,0,IF(C31&lt;=100,0,IF(C31&lt;=1000,(C31-100)*20%,IF(C31&gt;1000,180))))</f>
        <v>#NUM!</v>
      </c>
      <c r="D32" s="83" t="e">
        <f t="shared" si="5"/>
        <v>#NUM!</v>
      </c>
      <c r="E32" s="83" t="e">
        <f t="shared" si="5"/>
        <v>#NUM!</v>
      </c>
      <c r="F32" s="83" t="e">
        <f t="shared" si="5"/>
        <v>#NUM!</v>
      </c>
      <c r="G32" s="83" t="e">
        <f t="shared" si="5"/>
        <v>#NUM!</v>
      </c>
      <c r="H32" s="83" t="e">
        <f t="shared" si="5"/>
        <v>#NUM!</v>
      </c>
      <c r="I32" s="313"/>
      <c r="J32" s="239"/>
    </row>
    <row r="33" spans="1:10" ht="15" x14ac:dyDescent="0.25">
      <c r="A33" s="909" t="s">
        <v>63</v>
      </c>
      <c r="B33" s="909"/>
      <c r="C33" s="97" t="e">
        <f t="shared" ref="C33:H33" si="6">IF(C31&lt;1000,0,IF(C31&gt;=1500,50,ROUND((C31-1000)*10%,2)))</f>
        <v>#NUM!</v>
      </c>
      <c r="D33" s="97" t="e">
        <f t="shared" si="6"/>
        <v>#NUM!</v>
      </c>
      <c r="E33" s="97" t="e">
        <f t="shared" si="6"/>
        <v>#NUM!</v>
      </c>
      <c r="F33" s="97" t="e">
        <f t="shared" si="6"/>
        <v>#NUM!</v>
      </c>
      <c r="G33" s="97" t="e">
        <f t="shared" si="6"/>
        <v>#NUM!</v>
      </c>
      <c r="H33" s="97" t="e">
        <f t="shared" si="6"/>
        <v>#NUM!</v>
      </c>
      <c r="I33" s="313"/>
      <c r="J33" s="239"/>
    </row>
    <row r="34" spans="1:10" x14ac:dyDescent="0.2">
      <c r="A34" s="908" t="s">
        <v>64</v>
      </c>
      <c r="B34" s="908"/>
      <c r="C34" s="296">
        <f t="shared" ref="C34:H34" si="7">IF(C5=0,0,(C32+C33)-(C28+C29))</f>
        <v>0</v>
      </c>
      <c r="D34" s="296">
        <f t="shared" si="7"/>
        <v>0</v>
      </c>
      <c r="E34" s="296">
        <f t="shared" si="7"/>
        <v>0</v>
      </c>
      <c r="F34" s="296">
        <f t="shared" si="7"/>
        <v>0</v>
      </c>
      <c r="G34" s="296">
        <f t="shared" si="7"/>
        <v>0</v>
      </c>
      <c r="H34" s="296">
        <f t="shared" si="7"/>
        <v>0</v>
      </c>
      <c r="I34" s="314" t="s">
        <v>48</v>
      </c>
      <c r="J34" s="239"/>
    </row>
    <row r="35" spans="1:10" x14ac:dyDescent="0.2">
      <c r="A35" s="810" t="s">
        <v>65</v>
      </c>
      <c r="B35" s="810"/>
      <c r="C35" s="287">
        <f>IF(C5=0,0,IF(AND(C5&gt;0,C25&gt;0),C5-C10-C34,IF(C5-C10-C34-C26&lt;0,0,C5-C10-C34-C26)))</f>
        <v>0</v>
      </c>
      <c r="D35" s="287">
        <f>IF(D5=0,0,IF(AND(D5&gt;0,D25&gt;0),D5-D10-D34,IF(D5-D10-D34-D26&lt;0,0,D5-D10-D34-D26)))</f>
        <v>0</v>
      </c>
      <c r="E35" s="287">
        <f>IF(E5=0,0,IF(AND(E5&gt;0,E25&gt;0),E5-E10-E34,IF(E5-E10-E34-E26&lt;0,0,E5-E10-E34-E26)))</f>
        <v>0</v>
      </c>
      <c r="F35" s="287">
        <f>IF(F5=0,0,IF(AND(F5&gt;0,F25&gt;0),F5-F10-F34,IF(F5-E10-F34-F26&lt;0,0,F5-F10-F34-F26)))</f>
        <v>0</v>
      </c>
      <c r="G35" s="287">
        <f>IF(G5=0,0,IF(AND(G5&gt;0,G25&gt;0),G5-G10-G34,IF(G5-G10-G34-G26&lt;0,0,G5-G10-G34-G26)))</f>
        <v>0</v>
      </c>
      <c r="H35" s="287">
        <f>IF(H5=0,0,IF(AND(H5&gt;0,H25&gt;0),H5-H10-H34,IF(H5-H10-H34-H26&lt;0,0,H5-H10-H34-H26)))</f>
        <v>0</v>
      </c>
      <c r="I35" s="287">
        <f>SUM(C35:H35)</f>
        <v>0</v>
      </c>
      <c r="J35" s="239"/>
    </row>
    <row r="36" spans="1:10" ht="15" x14ac:dyDescent="0.25">
      <c r="A36" s="313"/>
      <c r="B36" s="240"/>
      <c r="C36" s="914" t="s">
        <v>251</v>
      </c>
      <c r="D36" s="914"/>
      <c r="E36" s="914"/>
      <c r="F36" s="914"/>
      <c r="G36" s="914"/>
      <c r="H36" s="914"/>
      <c r="I36" s="239"/>
      <c r="J36" s="239"/>
    </row>
    <row r="37" spans="1:10" ht="15" x14ac:dyDescent="0.25">
      <c r="A37" s="931" t="s">
        <v>29</v>
      </c>
      <c r="B37" s="932"/>
      <c r="C37" s="255" t="e">
        <f>EDATE(BG!D2,-6)</f>
        <v>#NUM!</v>
      </c>
      <c r="D37" s="255" t="e">
        <f>EDATE(BG!D2,-5)</f>
        <v>#NUM!</v>
      </c>
      <c r="E37" s="255" t="e">
        <f>EDATE(BG!D2,-4)</f>
        <v>#NUM!</v>
      </c>
      <c r="F37" s="255" t="e">
        <f>EDATE(BG!D2,-3)</f>
        <v>#NUM!</v>
      </c>
      <c r="G37" s="255" t="e">
        <f>EDATE(BG!D2,-2)</f>
        <v>#NUM!</v>
      </c>
      <c r="H37" s="255" t="e">
        <f>EDATE(BG!D2,-1)</f>
        <v>#NUM!</v>
      </c>
      <c r="I37" s="292"/>
      <c r="J37" s="292"/>
    </row>
    <row r="38" spans="1:10" x14ac:dyDescent="0.2">
      <c r="A38" s="892" t="s">
        <v>66</v>
      </c>
      <c r="B38" s="893"/>
      <c r="C38" s="315">
        <f>MEG!D44</f>
        <v>0</v>
      </c>
      <c r="D38" s="315">
        <f>MEG!D48</f>
        <v>0</v>
      </c>
      <c r="E38" s="315">
        <f>MEG!D52</f>
        <v>0</v>
      </c>
      <c r="F38" s="315">
        <f>MEG!D56</f>
        <v>0</v>
      </c>
      <c r="G38" s="315">
        <f>MEG!D60</f>
        <v>0</v>
      </c>
      <c r="H38" s="315">
        <f>MEG!D64</f>
        <v>0</v>
      </c>
      <c r="I38" s="294"/>
      <c r="J38" s="294"/>
    </row>
    <row r="39" spans="1:10" x14ac:dyDescent="0.2">
      <c r="A39" s="886" t="s">
        <v>38</v>
      </c>
      <c r="B39" s="887"/>
      <c r="C39" s="316">
        <f>MEG!D45</f>
        <v>0</v>
      </c>
      <c r="D39" s="316">
        <f>MEG!D49</f>
        <v>0</v>
      </c>
      <c r="E39" s="316">
        <f>MEG!D53</f>
        <v>0</v>
      </c>
      <c r="F39" s="316">
        <f>MEG!D57</f>
        <v>0</v>
      </c>
      <c r="G39" s="316">
        <f>MEG!D61</f>
        <v>0</v>
      </c>
      <c r="H39" s="316">
        <f>MEG!D65</f>
        <v>0</v>
      </c>
      <c r="I39" s="294"/>
      <c r="J39" s="294"/>
    </row>
    <row r="40" spans="1:10" x14ac:dyDescent="0.2">
      <c r="A40" s="888" t="s">
        <v>67</v>
      </c>
      <c r="B40" s="889"/>
      <c r="C40" s="317"/>
      <c r="D40" s="317"/>
      <c r="E40" s="317"/>
      <c r="F40" s="317"/>
      <c r="G40" s="317"/>
      <c r="H40" s="317"/>
      <c r="I40" s="294"/>
      <c r="J40" s="294"/>
    </row>
    <row r="41" spans="1:10" x14ac:dyDescent="0.2">
      <c r="A41" s="912" t="s">
        <v>68</v>
      </c>
      <c r="B41" s="913"/>
      <c r="C41" s="318"/>
      <c r="D41" s="318"/>
      <c r="E41" s="318"/>
      <c r="F41" s="318"/>
      <c r="G41" s="318"/>
      <c r="H41" s="318"/>
      <c r="I41" s="294"/>
      <c r="J41" s="294"/>
    </row>
    <row r="42" spans="1:10" x14ac:dyDescent="0.2">
      <c r="A42" s="319"/>
      <c r="B42" s="319"/>
      <c r="C42" s="143">
        <f t="shared" ref="C42:H42" si="8">IF((C38+C39)=0,0,IF(AND((C38-C40)&gt;=0,(C39-C41)&gt;=0),(C38+C39-C40-C41),IF(AND((C38-C40)&gt;0,(C39-C41)&lt;0),(C38-C40),IF(AND((C38-C40)&lt;0,(C39-C41)&gt;0),(C39-C41),IF((C38-C40)&gt;0,(C38-C40),IF((C38-C40)&lt;0,0))))))</f>
        <v>0</v>
      </c>
      <c r="D42" s="143">
        <f t="shared" si="8"/>
        <v>0</v>
      </c>
      <c r="E42" s="143">
        <f t="shared" si="8"/>
        <v>0</v>
      </c>
      <c r="F42" s="143">
        <f t="shared" si="8"/>
        <v>0</v>
      </c>
      <c r="G42" s="143">
        <f t="shared" si="8"/>
        <v>0</v>
      </c>
      <c r="H42" s="143">
        <f t="shared" si="8"/>
        <v>0</v>
      </c>
      <c r="I42" s="240"/>
      <c r="J42" s="240"/>
    </row>
    <row r="43" spans="1:10" x14ac:dyDescent="0.2">
      <c r="A43" s="933" t="s">
        <v>69</v>
      </c>
      <c r="B43" s="934"/>
      <c r="C43" s="315">
        <f>MEG!E44</f>
        <v>0</v>
      </c>
      <c r="D43" s="315">
        <f>MEG!E48</f>
        <v>0</v>
      </c>
      <c r="E43" s="315">
        <f>MEG!E52</f>
        <v>0</v>
      </c>
      <c r="F43" s="315">
        <f>MEG!E56</f>
        <v>0</v>
      </c>
      <c r="G43" s="315">
        <f>MEG!E60</f>
        <v>0</v>
      </c>
      <c r="H43" s="315">
        <f>MEG!E64</f>
        <v>0</v>
      </c>
      <c r="I43" s="294"/>
      <c r="J43" s="294"/>
    </row>
    <row r="44" spans="1:10" x14ac:dyDescent="0.2">
      <c r="A44" s="935" t="s">
        <v>38</v>
      </c>
      <c r="B44" s="936"/>
      <c r="C44" s="316">
        <f>MEG!E45</f>
        <v>0</v>
      </c>
      <c r="D44" s="316">
        <f>MEG!E49</f>
        <v>0</v>
      </c>
      <c r="E44" s="316">
        <f>MEG!E53</f>
        <v>0</v>
      </c>
      <c r="F44" s="316">
        <f>MEG!E57</f>
        <v>0</v>
      </c>
      <c r="G44" s="316">
        <f>MEG!E61</f>
        <v>0</v>
      </c>
      <c r="H44" s="316">
        <f>MEG!E65</f>
        <v>0</v>
      </c>
      <c r="I44" s="294"/>
      <c r="J44" s="294"/>
    </row>
    <row r="45" spans="1:10" x14ac:dyDescent="0.2">
      <c r="A45" s="888" t="s">
        <v>67</v>
      </c>
      <c r="B45" s="889"/>
      <c r="C45" s="297"/>
      <c r="D45" s="297"/>
      <c r="E45" s="297"/>
      <c r="F45" s="297"/>
      <c r="G45" s="297"/>
      <c r="H45" s="297"/>
      <c r="I45" s="294"/>
      <c r="J45" s="294"/>
    </row>
    <row r="46" spans="1:10" x14ac:dyDescent="0.2">
      <c r="A46" s="912" t="s">
        <v>68</v>
      </c>
      <c r="B46" s="913"/>
      <c r="C46" s="318"/>
      <c r="D46" s="318"/>
      <c r="E46" s="318"/>
      <c r="F46" s="318"/>
      <c r="G46" s="318"/>
      <c r="H46" s="318"/>
      <c r="I46" s="294"/>
      <c r="J46" s="294"/>
    </row>
    <row r="47" spans="1:10" x14ac:dyDescent="0.2">
      <c r="A47" s="321"/>
      <c r="B47" s="321"/>
      <c r="C47" s="320">
        <f t="shared" ref="C47:H47" si="9">IF((C43+C44)=0,0,IF(AND((C43-C45)&gt;=0,(C44-C46)&gt;=0),(C43+C44-C45-C46),IF(AND((C43-C45)&gt;0,(C44-C46)&lt;0),(C43-C45),IF(AND((C43-C45)&lt;0,(C44-C46)&gt;0),(C44-C46),IF((C43-C45)&gt;0,(C43-C45),IF((C43-C45)&lt;0,0))))))</f>
        <v>0</v>
      </c>
      <c r="D47" s="320">
        <f t="shared" si="9"/>
        <v>0</v>
      </c>
      <c r="E47" s="320">
        <f t="shared" si="9"/>
        <v>0</v>
      </c>
      <c r="F47" s="320">
        <f t="shared" si="9"/>
        <v>0</v>
      </c>
      <c r="G47" s="320">
        <f t="shared" si="9"/>
        <v>0</v>
      </c>
      <c r="H47" s="320">
        <f t="shared" si="9"/>
        <v>0</v>
      </c>
      <c r="I47" s="240"/>
      <c r="J47" s="322"/>
    </row>
    <row r="48" spans="1:10" x14ac:dyDescent="0.2">
      <c r="A48" s="892" t="s">
        <v>70</v>
      </c>
      <c r="B48" s="893"/>
      <c r="C48" s="315">
        <f>MEG!F44</f>
        <v>0</v>
      </c>
      <c r="D48" s="315">
        <f>MEG!F48</f>
        <v>0</v>
      </c>
      <c r="E48" s="315">
        <f>MEG!F52</f>
        <v>0</v>
      </c>
      <c r="F48" s="315">
        <f>MEG!F56</f>
        <v>0</v>
      </c>
      <c r="G48" s="315">
        <f>MEG!F60</f>
        <v>0</v>
      </c>
      <c r="H48" s="315">
        <f>MEG!F64</f>
        <v>0</v>
      </c>
      <c r="I48" s="294"/>
      <c r="J48" s="294"/>
    </row>
    <row r="49" spans="1:10" x14ac:dyDescent="0.2">
      <c r="A49" s="886" t="s">
        <v>38</v>
      </c>
      <c r="B49" s="887"/>
      <c r="C49" s="316">
        <f>MEG!F45</f>
        <v>0</v>
      </c>
      <c r="D49" s="316">
        <f>MEG!F49</f>
        <v>0</v>
      </c>
      <c r="E49" s="316">
        <f>MEG!F53</f>
        <v>0</v>
      </c>
      <c r="F49" s="316">
        <f>MEG!F57</f>
        <v>0</v>
      </c>
      <c r="G49" s="316">
        <f>MEG!F61</f>
        <v>0</v>
      </c>
      <c r="H49" s="316">
        <f>MEG!F65</f>
        <v>0</v>
      </c>
      <c r="I49" s="294"/>
      <c r="J49" s="294"/>
    </row>
    <row r="50" spans="1:10" x14ac:dyDescent="0.2">
      <c r="A50" s="888" t="s">
        <v>67</v>
      </c>
      <c r="B50" s="889"/>
      <c r="C50" s="323"/>
      <c r="D50" s="323"/>
      <c r="E50" s="323"/>
      <c r="F50" s="323"/>
      <c r="G50" s="323"/>
      <c r="H50" s="323"/>
      <c r="I50" s="294"/>
      <c r="J50" s="294"/>
    </row>
    <row r="51" spans="1:10" x14ac:dyDescent="0.2">
      <c r="A51" s="912" t="s">
        <v>68</v>
      </c>
      <c r="B51" s="913"/>
      <c r="C51" s="324"/>
      <c r="D51" s="325"/>
      <c r="E51" s="325"/>
      <c r="F51" s="325"/>
      <c r="G51" s="325"/>
      <c r="H51" s="325"/>
      <c r="I51" s="294"/>
      <c r="J51" s="294"/>
    </row>
    <row r="52" spans="1:10" x14ac:dyDescent="0.2">
      <c r="A52" s="321"/>
      <c r="B52" s="321"/>
      <c r="C52" s="143">
        <f t="shared" ref="C52:H52" si="10">IF((C48+C49)=0,0,IF(AND((C48-C50)&gt;=0,(C49-C51)&gt;=0),(C48+C49-C50-C51),IF(AND((C48-C50)&gt;0,(C49-C51)&lt;0),(C48-C50),IF(AND((C48-C50)&lt;0,(C49-C51)&gt;0),(C49-C51),IF((C48-C50)&gt;0,(C48-C50),IF((C48-C50)&lt;0,0))))))</f>
        <v>0</v>
      </c>
      <c r="D52" s="143">
        <f t="shared" si="10"/>
        <v>0</v>
      </c>
      <c r="E52" s="143">
        <f t="shared" si="10"/>
        <v>0</v>
      </c>
      <c r="F52" s="143">
        <f t="shared" si="10"/>
        <v>0</v>
      </c>
      <c r="G52" s="143">
        <f t="shared" si="10"/>
        <v>0</v>
      </c>
      <c r="H52" s="143">
        <f t="shared" si="10"/>
        <v>0</v>
      </c>
      <c r="I52" s="240"/>
      <c r="J52" s="322"/>
    </row>
    <row r="53" spans="1:10" x14ac:dyDescent="0.2">
      <c r="A53" s="892" t="s">
        <v>83</v>
      </c>
      <c r="B53" s="893"/>
      <c r="C53" s="326">
        <f>MEG!G44</f>
        <v>0</v>
      </c>
      <c r="D53" s="326">
        <f>MEG!G48</f>
        <v>0</v>
      </c>
      <c r="E53" s="326">
        <f>MEG!G52</f>
        <v>0</v>
      </c>
      <c r="F53" s="326">
        <f>MEG!G56</f>
        <v>0</v>
      </c>
      <c r="G53" s="326">
        <f>MEG!G60</f>
        <v>0</v>
      </c>
      <c r="H53" s="326">
        <f>MEG!G64</f>
        <v>0</v>
      </c>
      <c r="I53" s="294"/>
      <c r="J53" s="294"/>
    </row>
    <row r="54" spans="1:10" x14ac:dyDescent="0.2">
      <c r="A54" s="886" t="s">
        <v>38</v>
      </c>
      <c r="B54" s="887"/>
      <c r="C54" s="327">
        <f>MEG!G45</f>
        <v>0</v>
      </c>
      <c r="D54" s="327">
        <f>MEG!G49</f>
        <v>0</v>
      </c>
      <c r="E54" s="327">
        <f>MEG!G53</f>
        <v>0</v>
      </c>
      <c r="F54" s="327">
        <f>MEG!G57</f>
        <v>0</v>
      </c>
      <c r="G54" s="327">
        <f>MEG!G61</f>
        <v>0</v>
      </c>
      <c r="H54" s="327">
        <f>MEG!G65</f>
        <v>0</v>
      </c>
      <c r="I54" s="294"/>
      <c r="J54" s="294"/>
    </row>
    <row r="55" spans="1:10" x14ac:dyDescent="0.2">
      <c r="A55" s="888" t="s">
        <v>67</v>
      </c>
      <c r="B55" s="889"/>
      <c r="C55" s="323"/>
      <c r="D55" s="328"/>
      <c r="E55" s="328"/>
      <c r="F55" s="328"/>
      <c r="G55" s="328"/>
      <c r="H55" s="328"/>
      <c r="I55" s="294"/>
      <c r="J55" s="294"/>
    </row>
    <row r="56" spans="1:10" x14ac:dyDescent="0.2">
      <c r="A56" s="912" t="s">
        <v>68</v>
      </c>
      <c r="B56" s="913"/>
      <c r="C56" s="329"/>
      <c r="D56" s="318"/>
      <c r="E56" s="318"/>
      <c r="F56" s="318"/>
      <c r="G56" s="318"/>
      <c r="H56" s="318"/>
      <c r="I56" s="294"/>
      <c r="J56" s="294"/>
    </row>
    <row r="57" spans="1:10" x14ac:dyDescent="0.2">
      <c r="A57" s="330"/>
      <c r="B57" s="330"/>
      <c r="C57" s="143">
        <f t="shared" ref="C57:H57" si="11">IF((C53+C54)=0,0,IF(AND((C53-C55)&gt;=0,(C54-C56)&gt;=0),(C53+C54-C55-C56),IF(AND((C53-C55)&gt;0,(C54-C56)&lt;0),(C53-C55),IF(AND((C53-C55)&lt;0,(C54-C56)&gt;0),(C54-C56),IF((C53-C55)&gt;0,(C53-C55),IF((C53-C55)&lt;0,0))))))</f>
        <v>0</v>
      </c>
      <c r="D57" s="143">
        <f t="shared" si="11"/>
        <v>0</v>
      </c>
      <c r="E57" s="143">
        <f t="shared" si="11"/>
        <v>0</v>
      </c>
      <c r="F57" s="143">
        <f t="shared" si="11"/>
        <v>0</v>
      </c>
      <c r="G57" s="143">
        <f t="shared" si="11"/>
        <v>0</v>
      </c>
      <c r="H57" s="143">
        <f t="shared" si="11"/>
        <v>0</v>
      </c>
      <c r="I57" s="240"/>
      <c r="J57" s="322"/>
    </row>
    <row r="58" spans="1:10" x14ac:dyDescent="0.2">
      <c r="A58" s="892" t="s">
        <v>71</v>
      </c>
      <c r="B58" s="893"/>
      <c r="C58" s="315">
        <f>MEG!H44</f>
        <v>0</v>
      </c>
      <c r="D58" s="315">
        <f>MEG!H48</f>
        <v>0</v>
      </c>
      <c r="E58" s="315">
        <f>MEG!H52</f>
        <v>0</v>
      </c>
      <c r="F58" s="315">
        <f>MEG!H56</f>
        <v>0</v>
      </c>
      <c r="G58" s="315">
        <f>MEG!H60</f>
        <v>0</v>
      </c>
      <c r="H58" s="315">
        <f>MEG!H64</f>
        <v>0</v>
      </c>
      <c r="I58" s="294"/>
      <c r="J58" s="294"/>
    </row>
    <row r="59" spans="1:10" x14ac:dyDescent="0.2">
      <c r="A59" s="886" t="s">
        <v>38</v>
      </c>
      <c r="B59" s="887"/>
      <c r="C59" s="316">
        <f>MEG!H45</f>
        <v>0</v>
      </c>
      <c r="D59" s="316">
        <f>MEG!H49</f>
        <v>0</v>
      </c>
      <c r="E59" s="316">
        <f>MEG!H53</f>
        <v>0</v>
      </c>
      <c r="F59" s="316">
        <f>MEG!H57</f>
        <v>0</v>
      </c>
      <c r="G59" s="316">
        <f>MEG!H61</f>
        <v>0</v>
      </c>
      <c r="H59" s="316">
        <f>MEG!H65</f>
        <v>0</v>
      </c>
      <c r="I59" s="294"/>
      <c r="J59" s="294"/>
    </row>
    <row r="60" spans="1:10" x14ac:dyDescent="0.2">
      <c r="A60" s="888" t="s">
        <v>67</v>
      </c>
      <c r="B60" s="889"/>
      <c r="C60" s="323"/>
      <c r="D60" s="297"/>
      <c r="E60" s="297"/>
      <c r="F60" s="297"/>
      <c r="G60" s="297"/>
      <c r="H60" s="297"/>
      <c r="I60" s="294"/>
      <c r="J60" s="294"/>
    </row>
    <row r="61" spans="1:10" x14ac:dyDescent="0.2">
      <c r="A61" s="890" t="s">
        <v>68</v>
      </c>
      <c r="B61" s="891"/>
      <c r="C61" s="329"/>
      <c r="D61" s="318"/>
      <c r="E61" s="318"/>
      <c r="F61" s="318"/>
      <c r="G61" s="318"/>
      <c r="H61" s="318"/>
      <c r="I61" s="294"/>
      <c r="J61" s="294"/>
    </row>
    <row r="62" spans="1:10" x14ac:dyDescent="0.2">
      <c r="A62" s="331"/>
      <c r="B62" s="330"/>
      <c r="C62" s="143">
        <f t="shared" ref="C62:H62" si="12">IF((C58+C59)=0,0,IF(AND((C58-C60)&gt;=0,(C59-C61)&gt;=0),(C58+C59-C60-C61),IF(AND((C58-C60)&gt;0,(C59-C61)&lt;0),(C58-C60),IF(AND((C58-C60)&lt;0,(C59-C61)&gt;0),(C59-C61),IF((C58-C60)&gt;0,(C58-C60),IF((C58-C60)&lt;0,0))))))</f>
        <v>0</v>
      </c>
      <c r="D62" s="143">
        <f t="shared" si="12"/>
        <v>0</v>
      </c>
      <c r="E62" s="143">
        <f t="shared" si="12"/>
        <v>0</v>
      </c>
      <c r="F62" s="143">
        <f t="shared" si="12"/>
        <v>0</v>
      </c>
      <c r="G62" s="143">
        <f t="shared" si="12"/>
        <v>0</v>
      </c>
      <c r="H62" s="143">
        <f t="shared" si="12"/>
        <v>0</v>
      </c>
      <c r="I62" s="240"/>
      <c r="J62" s="322"/>
    </row>
    <row r="63" spans="1:10" x14ac:dyDescent="0.2">
      <c r="A63" s="892" t="s">
        <v>37</v>
      </c>
      <c r="B63" s="893"/>
      <c r="C63" s="326">
        <f>MEG!I44</f>
        <v>0</v>
      </c>
      <c r="D63" s="326">
        <f>MEG!I48</f>
        <v>0</v>
      </c>
      <c r="E63" s="326">
        <f>MEG!I52</f>
        <v>0</v>
      </c>
      <c r="F63" s="326">
        <f>MEG!I56</f>
        <v>0</v>
      </c>
      <c r="G63" s="326">
        <f>MEG!I60</f>
        <v>0</v>
      </c>
      <c r="H63" s="326">
        <f>MEG!I64</f>
        <v>0</v>
      </c>
      <c r="I63" s="294"/>
      <c r="J63" s="294"/>
    </row>
    <row r="64" spans="1:10" x14ac:dyDescent="0.2">
      <c r="A64" s="886" t="s">
        <v>38</v>
      </c>
      <c r="B64" s="887"/>
      <c r="C64" s="327">
        <f>MEG!I45</f>
        <v>0</v>
      </c>
      <c r="D64" s="327">
        <f>MEG!I49</f>
        <v>0</v>
      </c>
      <c r="E64" s="327">
        <f>MEG!I53</f>
        <v>0</v>
      </c>
      <c r="F64" s="327">
        <f>MEG!I57</f>
        <v>0</v>
      </c>
      <c r="G64" s="327">
        <f>MEG!I61</f>
        <v>0</v>
      </c>
      <c r="H64" s="327">
        <f>MEG!I65</f>
        <v>0</v>
      </c>
      <c r="I64" s="294"/>
      <c r="J64" s="294"/>
    </row>
    <row r="65" spans="1:10" x14ac:dyDescent="0.2">
      <c r="A65" s="894" t="s">
        <v>72</v>
      </c>
      <c r="B65" s="895"/>
      <c r="C65" s="317"/>
      <c r="D65" s="317"/>
      <c r="E65" s="317"/>
      <c r="F65" s="317"/>
      <c r="G65" s="317"/>
      <c r="H65" s="317"/>
      <c r="I65" s="294"/>
      <c r="J65" s="294"/>
    </row>
    <row r="66" spans="1:10" x14ac:dyDescent="0.2">
      <c r="A66" s="890" t="s">
        <v>68</v>
      </c>
      <c r="B66" s="891"/>
      <c r="C66" s="318"/>
      <c r="D66" s="318"/>
      <c r="E66" s="318"/>
      <c r="F66" s="318"/>
      <c r="G66" s="318"/>
      <c r="H66" s="318"/>
      <c r="I66" s="294"/>
      <c r="J66" s="294"/>
    </row>
    <row r="67" spans="1:10" x14ac:dyDescent="0.2">
      <c r="A67" s="332"/>
      <c r="B67" s="332"/>
      <c r="C67" s="143">
        <f t="shared" ref="C67:H67" si="13">IF((C63+C64)=0,0,IF(AND((C63-C65)&gt;=0,(C64-C66)&gt;=0),(C63+C64-C65-C66),IF(AND((C63-C65)&gt;0,(C64-C66)&lt;0),(C63-C65),IF(AND((C63-C65)&lt;0,(C64-C66)&gt;0),(C64-C66),IF((C63-C65)&gt;0,(C63-C65),IF((C63-C65)&lt;0,0))))))</f>
        <v>0</v>
      </c>
      <c r="D67" s="143">
        <f t="shared" si="13"/>
        <v>0</v>
      </c>
      <c r="E67" s="143">
        <f t="shared" si="13"/>
        <v>0</v>
      </c>
      <c r="F67" s="143">
        <f t="shared" si="13"/>
        <v>0</v>
      </c>
      <c r="G67" s="143">
        <f t="shared" si="13"/>
        <v>0</v>
      </c>
      <c r="H67" s="143">
        <f t="shared" si="13"/>
        <v>0</v>
      </c>
      <c r="I67" s="240"/>
      <c r="J67" s="240"/>
    </row>
    <row r="68" spans="1:10" x14ac:dyDescent="0.2">
      <c r="A68" s="919" t="s">
        <v>73</v>
      </c>
      <c r="B68" s="920"/>
      <c r="C68" s="361">
        <f>MEG!K44</f>
        <v>0</v>
      </c>
      <c r="D68" s="361">
        <f>MEG!K48</f>
        <v>0</v>
      </c>
      <c r="E68" s="361">
        <f>MEG!K52</f>
        <v>0</v>
      </c>
      <c r="F68" s="361">
        <f>MEG!K56</f>
        <v>0</v>
      </c>
      <c r="G68" s="361">
        <f>MEG!K60</f>
        <v>0</v>
      </c>
      <c r="H68" s="361">
        <f>MEG!K64</f>
        <v>0</v>
      </c>
      <c r="I68" s="294"/>
      <c r="J68" s="294"/>
    </row>
    <row r="69" spans="1:10" x14ac:dyDescent="0.2">
      <c r="A69" s="868" t="s">
        <v>74</v>
      </c>
      <c r="B69" s="869"/>
      <c r="C69" s="333"/>
      <c r="D69" s="333"/>
      <c r="E69" s="333"/>
      <c r="F69" s="333"/>
      <c r="G69" s="333"/>
      <c r="H69" s="333"/>
      <c r="I69" s="294"/>
      <c r="J69" s="294"/>
    </row>
    <row r="70" spans="1:10" x14ac:dyDescent="0.2">
      <c r="A70" s="358"/>
      <c r="B70" s="359"/>
      <c r="C70" s="359"/>
      <c r="D70" s="360"/>
      <c r="E70" s="360"/>
      <c r="F70" s="360"/>
      <c r="G70" s="360"/>
      <c r="H70" s="360"/>
      <c r="I70" s="360"/>
      <c r="J70" s="358"/>
    </row>
    <row r="71" spans="1:10" ht="15" x14ac:dyDescent="0.25">
      <c r="A71" s="931" t="s">
        <v>29</v>
      </c>
      <c r="B71" s="932"/>
      <c r="C71" s="255" t="e">
        <f>EDATE(BG!D2,-6)</f>
        <v>#NUM!</v>
      </c>
      <c r="D71" s="255" t="e">
        <f>EDATE(BG!D2,-5)</f>
        <v>#NUM!</v>
      </c>
      <c r="E71" s="255" t="e">
        <f>EDATE(BG!D2,-4)</f>
        <v>#NUM!</v>
      </c>
      <c r="F71" s="255" t="e">
        <f>EDATE(BG!D2,-3)</f>
        <v>#NUM!</v>
      </c>
      <c r="G71" s="255" t="e">
        <f>EDATE(BG!D2,-2)</f>
        <v>#NUM!</v>
      </c>
      <c r="H71" s="255" t="e">
        <f>EDATE(BG!D2,-1)</f>
        <v>#NUM!</v>
      </c>
      <c r="I71" s="292"/>
      <c r="J71" s="292"/>
    </row>
    <row r="72" spans="1:10" x14ac:dyDescent="0.2">
      <c r="A72" s="875" t="s">
        <v>252</v>
      </c>
      <c r="B72" s="876"/>
      <c r="C72" s="335">
        <f>MEG!J44</f>
        <v>0</v>
      </c>
      <c r="D72" s="335">
        <f>MEG!J48</f>
        <v>0</v>
      </c>
      <c r="E72" s="335">
        <f>MEG!J52</f>
        <v>0</v>
      </c>
      <c r="F72" s="335">
        <f>MEG!J56</f>
        <v>0</v>
      </c>
      <c r="G72" s="335">
        <f>MEG!J60</f>
        <v>0</v>
      </c>
      <c r="H72" s="335">
        <f>MEG!J64</f>
        <v>0</v>
      </c>
      <c r="I72" s="294"/>
      <c r="J72" s="294"/>
    </row>
    <row r="73" spans="1:10" x14ac:dyDescent="0.2">
      <c r="A73" s="877" t="s">
        <v>346</v>
      </c>
      <c r="B73" s="877"/>
      <c r="C73" s="336"/>
      <c r="D73" s="336"/>
      <c r="E73" s="336"/>
      <c r="F73" s="336"/>
      <c r="G73" s="336"/>
      <c r="H73" s="336"/>
      <c r="I73" s="294"/>
      <c r="J73" s="294"/>
    </row>
    <row r="74" spans="1:10" x14ac:dyDescent="0.2">
      <c r="A74" s="878" t="s">
        <v>371</v>
      </c>
      <c r="B74" s="879"/>
      <c r="C74" s="337"/>
      <c r="D74" s="337"/>
      <c r="E74" s="337"/>
      <c r="F74" s="337"/>
      <c r="G74" s="337"/>
      <c r="H74" s="337"/>
      <c r="I74" s="294"/>
      <c r="J74" s="294"/>
    </row>
    <row r="75" spans="1:10" x14ac:dyDescent="0.2">
      <c r="A75" s="953" t="s">
        <v>372</v>
      </c>
      <c r="B75" s="953"/>
      <c r="C75" s="338"/>
      <c r="D75" s="338"/>
      <c r="E75" s="338"/>
      <c r="F75" s="338"/>
      <c r="G75" s="338"/>
      <c r="H75" s="338"/>
      <c r="I75" s="294"/>
      <c r="J75" s="294"/>
    </row>
    <row r="76" spans="1:10" x14ac:dyDescent="0.2">
      <c r="A76" s="880" t="s">
        <v>495</v>
      </c>
      <c r="B76" s="881"/>
      <c r="C76" s="339"/>
      <c r="D76" s="339"/>
      <c r="E76" s="339"/>
      <c r="F76" s="339"/>
      <c r="G76" s="339"/>
      <c r="H76" s="339"/>
      <c r="I76" s="294"/>
      <c r="J76" s="294"/>
    </row>
    <row r="77" spans="1:10" x14ac:dyDescent="0.2">
      <c r="A77" s="882" t="s">
        <v>316</v>
      </c>
      <c r="B77" s="883"/>
      <c r="C77" s="339"/>
      <c r="D77" s="339"/>
      <c r="E77" s="339"/>
      <c r="F77" s="339"/>
      <c r="G77" s="339"/>
      <c r="H77" s="339"/>
      <c r="I77" s="294"/>
      <c r="J77" s="294"/>
    </row>
    <row r="78" spans="1:10" x14ac:dyDescent="0.2">
      <c r="A78" s="870" t="s">
        <v>317</v>
      </c>
      <c r="B78" s="871"/>
      <c r="C78" s="340" t="e">
        <f t="shared" ref="C78:H78" si="14">IF(AND(C25=0,C72&gt;0),30,0)</f>
        <v>#NUM!</v>
      </c>
      <c r="D78" s="340" t="e">
        <f t="shared" si="14"/>
        <v>#NUM!</v>
      </c>
      <c r="E78" s="340" t="e">
        <f t="shared" si="14"/>
        <v>#NUM!</v>
      </c>
      <c r="F78" s="340" t="e">
        <f t="shared" si="14"/>
        <v>#NUM!</v>
      </c>
      <c r="G78" s="340" t="e">
        <f t="shared" si="14"/>
        <v>#NUM!</v>
      </c>
      <c r="H78" s="340" t="e">
        <f t="shared" si="14"/>
        <v>#NUM!</v>
      </c>
      <c r="I78" s="294"/>
      <c r="J78" s="240"/>
    </row>
    <row r="79" spans="1:10" x14ac:dyDescent="0.2">
      <c r="A79" s="872" t="s">
        <v>58</v>
      </c>
      <c r="B79" s="872"/>
      <c r="C79" s="337"/>
      <c r="D79" s="337"/>
      <c r="E79" s="337"/>
      <c r="F79" s="337"/>
      <c r="G79" s="337"/>
      <c r="H79" s="337"/>
      <c r="I79" s="294"/>
      <c r="J79" s="294"/>
    </row>
    <row r="80" spans="1:10" x14ac:dyDescent="0.2">
      <c r="A80" s="873" t="s">
        <v>318</v>
      </c>
      <c r="B80" s="874"/>
      <c r="C80" s="336"/>
      <c r="D80" s="336"/>
      <c r="E80" s="336"/>
      <c r="F80" s="336"/>
      <c r="G80" s="336"/>
      <c r="H80" s="336"/>
      <c r="I80" s="294"/>
      <c r="J80" s="294"/>
    </row>
    <row r="81" spans="1:10" x14ac:dyDescent="0.2">
      <c r="A81" s="810" t="s">
        <v>319</v>
      </c>
      <c r="B81" s="810"/>
      <c r="C81" s="337"/>
      <c r="D81" s="337"/>
      <c r="E81" s="337"/>
      <c r="F81" s="337"/>
      <c r="G81" s="337"/>
      <c r="H81" s="337"/>
      <c r="I81" s="294"/>
      <c r="J81" s="294"/>
    </row>
    <row r="82" spans="1:10" x14ac:dyDescent="0.2">
      <c r="A82" s="810" t="s">
        <v>320</v>
      </c>
      <c r="B82" s="810"/>
      <c r="C82" s="287">
        <f t="shared" ref="C82:H82" si="15">IF(C72=0,0,IF(C25&gt;0,SUM(C75:C81)+C73+C74,IF(C25=0,IF(SUM(C75:C81)&lt;100,100+C73+C74,SUM(C75:C81)+C73+C74))))</f>
        <v>0</v>
      </c>
      <c r="D82" s="287">
        <f t="shared" si="15"/>
        <v>0</v>
      </c>
      <c r="E82" s="287">
        <f t="shared" si="15"/>
        <v>0</v>
      </c>
      <c r="F82" s="287">
        <f t="shared" si="15"/>
        <v>0</v>
      </c>
      <c r="G82" s="287">
        <f t="shared" si="15"/>
        <v>0</v>
      </c>
      <c r="H82" s="287">
        <f t="shared" si="15"/>
        <v>0</v>
      </c>
      <c r="I82" s="294"/>
      <c r="J82" s="294"/>
    </row>
    <row r="83" spans="1:10" x14ac:dyDescent="0.2">
      <c r="A83" s="810" t="s">
        <v>322</v>
      </c>
      <c r="B83" s="810"/>
      <c r="C83" s="287">
        <f t="shared" ref="C83:H83" si="16">IF(C72-C82&lt;0,0,C72-C82)</f>
        <v>0</v>
      </c>
      <c r="D83" s="287">
        <f t="shared" si="16"/>
        <v>0</v>
      </c>
      <c r="E83" s="287">
        <f t="shared" si="16"/>
        <v>0</v>
      </c>
      <c r="F83" s="287">
        <f t="shared" si="16"/>
        <v>0</v>
      </c>
      <c r="G83" s="287">
        <f t="shared" si="16"/>
        <v>0</v>
      </c>
      <c r="H83" s="287">
        <f t="shared" si="16"/>
        <v>0</v>
      </c>
      <c r="I83" s="294"/>
      <c r="J83" s="294"/>
    </row>
    <row r="84" spans="1:10" x14ac:dyDescent="0.2">
      <c r="A84" s="866" t="s">
        <v>321</v>
      </c>
      <c r="B84" s="867"/>
      <c r="C84" s="341">
        <f>MEG!J45</f>
        <v>0</v>
      </c>
      <c r="D84" s="341">
        <f>MEG!J49</f>
        <v>0</v>
      </c>
      <c r="E84" s="341">
        <f>MEG!J53</f>
        <v>0</v>
      </c>
      <c r="F84" s="341">
        <f>MEG!J57</f>
        <v>0</v>
      </c>
      <c r="G84" s="341">
        <f>MEG!J61</f>
        <v>0</v>
      </c>
      <c r="H84" s="341">
        <f>MEG!J65</f>
        <v>0</v>
      </c>
      <c r="I84" s="294"/>
      <c r="J84" s="294"/>
    </row>
    <row r="85" spans="1:10" x14ac:dyDescent="0.2">
      <c r="A85" s="868" t="s">
        <v>68</v>
      </c>
      <c r="B85" s="869"/>
      <c r="C85" s="333"/>
      <c r="D85" s="333"/>
      <c r="E85" s="333"/>
      <c r="F85" s="333"/>
      <c r="G85" s="333"/>
      <c r="H85" s="333"/>
      <c r="I85" s="294"/>
      <c r="J85" s="294"/>
    </row>
    <row r="86" spans="1:10" x14ac:dyDescent="0.2">
      <c r="A86" s="239"/>
      <c r="B86" s="239"/>
      <c r="C86" s="93">
        <f t="shared" ref="C86:H86" si="17">IF((C84-C85)&lt;0,0,(C84-C85))</f>
        <v>0</v>
      </c>
      <c r="D86" s="93">
        <f t="shared" si="17"/>
        <v>0</v>
      </c>
      <c r="E86" s="93">
        <f t="shared" si="17"/>
        <v>0</v>
      </c>
      <c r="F86" s="93">
        <f t="shared" si="17"/>
        <v>0</v>
      </c>
      <c r="G86" s="93">
        <f t="shared" si="17"/>
        <v>0</v>
      </c>
      <c r="H86" s="93">
        <f t="shared" si="17"/>
        <v>0</v>
      </c>
      <c r="I86" s="239"/>
      <c r="J86" s="239"/>
    </row>
    <row r="87" spans="1:10" x14ac:dyDescent="0.2">
      <c r="A87" s="239"/>
      <c r="B87" s="239"/>
      <c r="C87" s="93">
        <f t="shared" ref="C87:H87" si="18">IF((C68-C69)&lt;0,0,C68-C69)</f>
        <v>0</v>
      </c>
      <c r="D87" s="93">
        <f t="shared" si="18"/>
        <v>0</v>
      </c>
      <c r="E87" s="93">
        <f t="shared" si="18"/>
        <v>0</v>
      </c>
      <c r="F87" s="93">
        <f t="shared" si="18"/>
        <v>0</v>
      </c>
      <c r="G87" s="93">
        <f t="shared" si="18"/>
        <v>0</v>
      </c>
      <c r="H87" s="93">
        <f t="shared" si="18"/>
        <v>0</v>
      </c>
      <c r="I87" s="239"/>
      <c r="J87" s="239"/>
    </row>
    <row r="88" spans="1:10" ht="15" x14ac:dyDescent="0.25">
      <c r="A88" s="902" t="s">
        <v>75</v>
      </c>
      <c r="B88" s="902"/>
      <c r="C88" s="342" t="s">
        <v>323</v>
      </c>
      <c r="D88" s="309"/>
      <c r="E88" s="309"/>
      <c r="F88" s="309"/>
      <c r="G88" s="309"/>
      <c r="H88" s="309"/>
      <c r="I88" s="239"/>
      <c r="J88" s="239"/>
    </row>
    <row r="89" spans="1:10" x14ac:dyDescent="0.2">
      <c r="A89" s="903" t="s">
        <v>56</v>
      </c>
      <c r="B89" s="903"/>
      <c r="C89" s="308"/>
      <c r="D89" s="308"/>
      <c r="E89" s="308"/>
      <c r="F89" s="308"/>
      <c r="G89" s="308"/>
      <c r="H89" s="308"/>
      <c r="I89" s="294"/>
      <c r="J89" s="294"/>
    </row>
    <row r="90" spans="1:10" x14ac:dyDescent="0.2">
      <c r="A90" s="903" t="s">
        <v>57</v>
      </c>
      <c r="B90" s="903"/>
      <c r="C90" s="308"/>
      <c r="D90" s="308"/>
      <c r="E90" s="308"/>
      <c r="F90" s="308"/>
      <c r="G90" s="308"/>
      <c r="H90" s="308"/>
      <c r="I90" s="294"/>
      <c r="J90" s="294"/>
    </row>
    <row r="91" spans="1:10" x14ac:dyDescent="0.2">
      <c r="A91" s="903" t="s">
        <v>58</v>
      </c>
      <c r="B91" s="903"/>
      <c r="C91" s="308"/>
      <c r="D91" s="308"/>
      <c r="E91" s="308"/>
      <c r="F91" s="308"/>
      <c r="G91" s="308"/>
      <c r="H91" s="308"/>
      <c r="I91" s="294"/>
      <c r="J91" s="294"/>
    </row>
    <row r="92" spans="1:10" x14ac:dyDescent="0.2">
      <c r="A92" s="903" t="s">
        <v>76</v>
      </c>
      <c r="B92" s="903"/>
      <c r="C92" s="343" t="e">
        <f>IF((C5+C4+H8+C72+C84)&gt;0,0,IF(C25=0,30,IF(C25&gt;0,0)))</f>
        <v>#NUM!</v>
      </c>
      <c r="D92" s="343" t="e">
        <f>IF((D5+D4+H8+D72+D84)&gt;0,0,IF(D25=0,30,IF(D25&gt;0,0)))</f>
        <v>#NUM!</v>
      </c>
      <c r="E92" s="343" t="e">
        <f>IF((E4+E5+H8+E72+E84)&gt;0,0,IF(E25=0,30,IF(E25&gt;0,0)))</f>
        <v>#NUM!</v>
      </c>
      <c r="F92" s="343" t="e">
        <f>IF((F5+F4+H8+F72+F84)&gt;0,0,IF(F25=0,30,IF(F25&gt;0,0)))</f>
        <v>#NUM!</v>
      </c>
      <c r="G92" s="343" t="e">
        <f>IF((G5+G4+H8+G72+G84)&gt;0,0,IF(G25=0,30,IF(G25&gt;0,0)))</f>
        <v>#NUM!</v>
      </c>
      <c r="H92" s="343" t="e">
        <f>IF((H5+H4+H8+H72+H84)&gt;0,0,IF(H25=0,30,IF(H25&gt;0,0)))</f>
        <v>#NUM!</v>
      </c>
      <c r="I92" s="239"/>
      <c r="J92" s="239"/>
    </row>
    <row r="93" spans="1:10" x14ac:dyDescent="0.2">
      <c r="A93" s="239"/>
      <c r="B93" s="239"/>
      <c r="C93" s="239"/>
      <c r="D93" s="239"/>
      <c r="E93" s="239"/>
      <c r="F93" s="239"/>
      <c r="G93" s="239"/>
      <c r="H93" s="239"/>
      <c r="I93" s="239"/>
      <c r="J93" s="239"/>
    </row>
    <row r="94" spans="1:10" x14ac:dyDescent="0.2">
      <c r="A94" s="241"/>
      <c r="B94" s="344" t="s">
        <v>77</v>
      </c>
      <c r="C94" s="97">
        <f t="shared" ref="C94:H94" si="19">C42+C47+C52+C57+C62+C67+C83+C86+C87</f>
        <v>0</v>
      </c>
      <c r="D94" s="97">
        <f t="shared" si="19"/>
        <v>0</v>
      </c>
      <c r="E94" s="97">
        <f t="shared" si="19"/>
        <v>0</v>
      </c>
      <c r="F94" s="97">
        <f t="shared" si="19"/>
        <v>0</v>
      </c>
      <c r="G94" s="97">
        <f t="shared" si="19"/>
        <v>0</v>
      </c>
      <c r="H94" s="97">
        <f t="shared" si="19"/>
        <v>0</v>
      </c>
      <c r="I94" s="258" t="s">
        <v>48</v>
      </c>
      <c r="J94" s="239"/>
    </row>
    <row r="95" spans="1:10" x14ac:dyDescent="0.2">
      <c r="A95" s="345"/>
      <c r="B95" s="346" t="s">
        <v>78</v>
      </c>
      <c r="C95" s="106" t="e">
        <f t="shared" ref="C95:H95" si="20">SUM(C89:C92)</f>
        <v>#NUM!</v>
      </c>
      <c r="D95" s="106" t="e">
        <f t="shared" si="20"/>
        <v>#NUM!</v>
      </c>
      <c r="E95" s="106" t="e">
        <f t="shared" si="20"/>
        <v>#NUM!</v>
      </c>
      <c r="F95" s="106" t="e">
        <f t="shared" si="20"/>
        <v>#NUM!</v>
      </c>
      <c r="G95" s="106" t="e">
        <f t="shared" si="20"/>
        <v>#NUM!</v>
      </c>
      <c r="H95" s="106" t="e">
        <f t="shared" si="20"/>
        <v>#NUM!</v>
      </c>
      <c r="I95" s="347"/>
      <c r="J95" s="239"/>
    </row>
    <row r="96" spans="1:10" x14ac:dyDescent="0.2">
      <c r="A96" s="281"/>
      <c r="B96" s="348" t="s">
        <v>79</v>
      </c>
      <c r="C96" s="296" t="e">
        <f t="shared" ref="C96:H96" si="21">IF((C94-C95)&lt;0,0,(C94-C95))</f>
        <v>#NUM!</v>
      </c>
      <c r="D96" s="296" t="e">
        <f t="shared" si="21"/>
        <v>#NUM!</v>
      </c>
      <c r="E96" s="296" t="e">
        <f t="shared" si="21"/>
        <v>#NUM!</v>
      </c>
      <c r="F96" s="296" t="e">
        <f t="shared" si="21"/>
        <v>#NUM!</v>
      </c>
      <c r="G96" s="296" t="e">
        <f t="shared" si="21"/>
        <v>#NUM!</v>
      </c>
      <c r="H96" s="296" t="e">
        <f t="shared" si="21"/>
        <v>#NUM!</v>
      </c>
      <c r="I96" s="287" t="e">
        <f>SUM(C96:H96)</f>
        <v>#NUM!</v>
      </c>
      <c r="J96" s="239"/>
    </row>
    <row r="97" spans="1:10" x14ac:dyDescent="0.2">
      <c r="A97" s="239"/>
      <c r="B97" s="239"/>
      <c r="C97" s="239"/>
      <c r="D97" s="239"/>
      <c r="E97" s="239"/>
      <c r="F97" s="239"/>
      <c r="G97" s="239"/>
      <c r="H97" s="239"/>
      <c r="I97" s="239"/>
      <c r="J97" s="239"/>
    </row>
    <row r="98" spans="1:10" x14ac:dyDescent="0.2">
      <c r="A98" s="239"/>
      <c r="B98" s="239"/>
      <c r="C98" s="239"/>
      <c r="D98" s="239"/>
      <c r="E98" s="239"/>
      <c r="F98" s="239"/>
      <c r="G98" s="239"/>
      <c r="H98" s="239"/>
      <c r="I98" s="239"/>
      <c r="J98" s="239"/>
    </row>
    <row r="99" spans="1:10" x14ac:dyDescent="0.2">
      <c r="A99" s="239"/>
      <c r="B99" s="239"/>
      <c r="C99" s="239"/>
      <c r="D99" s="239"/>
      <c r="E99" s="239"/>
      <c r="F99" s="239"/>
      <c r="G99" s="239"/>
      <c r="H99" s="239"/>
      <c r="I99" s="239"/>
      <c r="J99" s="239"/>
    </row>
    <row r="100" spans="1:10" x14ac:dyDescent="0.2">
      <c r="A100" s="239"/>
      <c r="B100" s="239"/>
      <c r="C100" s="239"/>
      <c r="D100" s="239"/>
      <c r="E100" s="239"/>
      <c r="F100" s="239"/>
      <c r="G100" s="239"/>
      <c r="H100" s="239"/>
      <c r="I100" s="239"/>
      <c r="J100" s="239"/>
    </row>
    <row r="101" spans="1:10" x14ac:dyDescent="0.2">
      <c r="A101" s="358"/>
      <c r="B101" s="358"/>
      <c r="C101" s="358"/>
      <c r="D101" s="358"/>
      <c r="E101" s="358"/>
      <c r="F101" s="358"/>
      <c r="G101" s="358"/>
      <c r="H101" s="358"/>
      <c r="I101" s="358"/>
      <c r="J101" s="358"/>
    </row>
    <row r="102" spans="1:10" x14ac:dyDescent="0.2">
      <c r="A102" s="358"/>
      <c r="B102" s="358"/>
      <c r="C102" s="358"/>
      <c r="D102" s="358"/>
      <c r="E102" s="358"/>
      <c r="F102" s="358"/>
      <c r="G102" s="358"/>
      <c r="H102" s="358"/>
      <c r="I102" s="358"/>
      <c r="J102" s="358"/>
    </row>
    <row r="103" spans="1:10" x14ac:dyDescent="0.2">
      <c r="A103" s="358"/>
      <c r="B103" s="358"/>
      <c r="C103" s="358"/>
      <c r="D103" s="358"/>
      <c r="E103" s="358"/>
      <c r="F103" s="358"/>
      <c r="G103" s="358"/>
      <c r="H103" s="358"/>
      <c r="I103" s="358"/>
      <c r="J103" s="358"/>
    </row>
    <row r="104" spans="1:10" x14ac:dyDescent="0.2">
      <c r="A104" s="358"/>
      <c r="B104" s="358"/>
      <c r="C104" s="358"/>
      <c r="D104" s="358"/>
      <c r="E104" s="358"/>
      <c r="F104" s="358"/>
      <c r="G104" s="358"/>
      <c r="H104" s="358"/>
      <c r="I104" s="358"/>
      <c r="J104" s="358"/>
    </row>
    <row r="105" spans="1:10" x14ac:dyDescent="0.2">
      <c r="A105" s="358"/>
      <c r="B105" s="358"/>
      <c r="C105" s="358"/>
      <c r="D105" s="358"/>
      <c r="E105" s="358"/>
      <c r="F105" s="358"/>
      <c r="G105" s="358"/>
      <c r="H105" s="358"/>
      <c r="I105" s="358"/>
      <c r="J105" s="358"/>
    </row>
    <row r="106" spans="1:10" x14ac:dyDescent="0.2">
      <c r="A106" s="239"/>
      <c r="B106" s="239"/>
      <c r="C106" s="239"/>
      <c r="D106" s="239"/>
      <c r="E106" s="239"/>
      <c r="F106" s="239"/>
      <c r="G106" s="239"/>
      <c r="H106" s="239"/>
      <c r="I106" s="239"/>
      <c r="J106" s="239"/>
    </row>
    <row r="107" spans="1:10" ht="15" x14ac:dyDescent="0.25">
      <c r="A107" s="239"/>
      <c r="B107" s="349" t="s">
        <v>228</v>
      </c>
      <c r="C107" s="239"/>
      <c r="D107" s="255" t="e">
        <f t="shared" ref="D107:I107" si="22">C37</f>
        <v>#NUM!</v>
      </c>
      <c r="E107" s="255" t="e">
        <f t="shared" si="22"/>
        <v>#NUM!</v>
      </c>
      <c r="F107" s="255" t="e">
        <f t="shared" si="22"/>
        <v>#NUM!</v>
      </c>
      <c r="G107" s="255" t="e">
        <f t="shared" si="22"/>
        <v>#NUM!</v>
      </c>
      <c r="H107" s="255" t="e">
        <f t="shared" si="22"/>
        <v>#NUM!</v>
      </c>
      <c r="I107" s="255" t="e">
        <f t="shared" si="22"/>
        <v>#NUM!</v>
      </c>
      <c r="J107" s="239"/>
    </row>
    <row r="108" spans="1:10" x14ac:dyDescent="0.2">
      <c r="A108" s="239"/>
      <c r="B108" s="904" t="s">
        <v>262</v>
      </c>
      <c r="C108" s="905"/>
      <c r="D108" s="910"/>
      <c r="E108" s="910"/>
      <c r="F108" s="910"/>
      <c r="G108" s="910"/>
      <c r="H108" s="910"/>
      <c r="I108" s="910"/>
      <c r="J108" s="239"/>
    </row>
    <row r="109" spans="1:10" x14ac:dyDescent="0.2">
      <c r="A109" s="239"/>
      <c r="B109" s="906" t="s">
        <v>263</v>
      </c>
      <c r="C109" s="907"/>
      <c r="D109" s="911"/>
      <c r="E109" s="911"/>
      <c r="F109" s="911"/>
      <c r="G109" s="911"/>
      <c r="H109" s="911"/>
      <c r="I109" s="911"/>
      <c r="J109" s="239"/>
    </row>
    <row r="110" spans="1:10" x14ac:dyDescent="0.2">
      <c r="A110" s="239"/>
      <c r="B110" s="909" t="s">
        <v>264</v>
      </c>
      <c r="C110" s="909"/>
      <c r="D110" s="910"/>
      <c r="E110" s="910"/>
      <c r="F110" s="910"/>
      <c r="G110" s="910"/>
      <c r="H110" s="910"/>
      <c r="I110" s="910"/>
      <c r="J110" s="239"/>
    </row>
    <row r="111" spans="1:10" x14ac:dyDescent="0.2">
      <c r="A111" s="239"/>
      <c r="B111" s="908" t="s">
        <v>265</v>
      </c>
      <c r="C111" s="908"/>
      <c r="D111" s="911"/>
      <c r="E111" s="911"/>
      <c r="F111" s="911"/>
      <c r="G111" s="911"/>
      <c r="H111" s="911"/>
      <c r="I111" s="911"/>
      <c r="J111" s="239"/>
    </row>
    <row r="112" spans="1:10" ht="15" x14ac:dyDescent="0.25">
      <c r="A112" s="239"/>
      <c r="B112" s="349" t="s">
        <v>266</v>
      </c>
      <c r="C112" s="239"/>
      <c r="D112" s="239"/>
      <c r="E112" s="239"/>
      <c r="F112" s="239"/>
      <c r="G112" s="239"/>
      <c r="H112" s="239"/>
      <c r="I112" s="239"/>
      <c r="J112" s="239"/>
    </row>
    <row r="113" spans="1:10" x14ac:dyDescent="0.2">
      <c r="A113" s="239"/>
      <c r="B113" s="909" t="s">
        <v>267</v>
      </c>
      <c r="C113" s="909"/>
      <c r="D113" s="910"/>
      <c r="E113" s="950"/>
      <c r="F113" s="950"/>
      <c r="G113" s="950"/>
      <c r="H113" s="950"/>
      <c r="I113" s="950"/>
      <c r="J113" s="239"/>
    </row>
    <row r="114" spans="1:10" x14ac:dyDescent="0.2">
      <c r="A114" s="239"/>
      <c r="B114" s="908" t="s">
        <v>268</v>
      </c>
      <c r="C114" s="908"/>
      <c r="D114" s="911"/>
      <c r="E114" s="951"/>
      <c r="F114" s="951"/>
      <c r="G114" s="951"/>
      <c r="H114" s="951"/>
      <c r="I114" s="951"/>
      <c r="J114" s="239"/>
    </row>
    <row r="115" spans="1:10" x14ac:dyDescent="0.2">
      <c r="A115" s="239"/>
      <c r="B115" s="239"/>
      <c r="C115" s="239"/>
      <c r="D115" s="239"/>
      <c r="E115" s="239"/>
      <c r="F115" s="239"/>
      <c r="G115" s="239"/>
      <c r="H115" s="239"/>
      <c r="I115" s="239"/>
      <c r="J115" s="239"/>
    </row>
    <row r="116" spans="1:10" x14ac:dyDescent="0.2">
      <c r="A116" s="239"/>
      <c r="B116" s="239"/>
      <c r="C116" s="239"/>
      <c r="D116" s="239"/>
      <c r="E116" s="239"/>
      <c r="F116" s="239"/>
      <c r="G116" s="239"/>
      <c r="H116" s="239"/>
      <c r="I116" s="239"/>
      <c r="J116" s="239"/>
    </row>
    <row r="117" spans="1:10" x14ac:dyDescent="0.2">
      <c r="A117" s="239"/>
      <c r="B117" s="239"/>
      <c r="C117" s="239"/>
      <c r="D117" s="239"/>
      <c r="E117" s="239"/>
      <c r="F117" s="239"/>
      <c r="G117" s="239"/>
      <c r="H117" s="239"/>
      <c r="I117" s="239"/>
      <c r="J117" s="239"/>
    </row>
    <row r="118" spans="1:10" ht="15" x14ac:dyDescent="0.25">
      <c r="A118" s="239"/>
      <c r="B118" s="944" t="s">
        <v>80</v>
      </c>
      <c r="C118" s="945"/>
      <c r="D118" s="946"/>
      <c r="E118" s="350" t="s">
        <v>48</v>
      </c>
      <c r="F118" s="351" t="s">
        <v>49</v>
      </c>
      <c r="G118" s="239"/>
      <c r="H118" s="239"/>
      <c r="I118" s="239"/>
      <c r="J118" s="239"/>
    </row>
    <row r="119" spans="1:10" ht="15" x14ac:dyDescent="0.25">
      <c r="A119" s="239"/>
      <c r="B119" s="947" t="s">
        <v>81</v>
      </c>
      <c r="C119" s="948"/>
      <c r="D119" s="949"/>
      <c r="E119" s="352" t="e">
        <f>IF(((SUM(D113:I113)+I96)-SUM(D108:I110))&lt;0,MAX((I30+I35)+(((SUM(D113:I113)+I96)-SUM(D108:I110))),0),(I30+I35))</f>
        <v>#NUM!</v>
      </c>
      <c r="F119" s="353" t="e">
        <f>IF(Kurzantrag!C8&gt;0,Kurzantrag!C8,E119/6)</f>
        <v>#NUM!</v>
      </c>
      <c r="G119" s="239"/>
      <c r="H119" s="239"/>
      <c r="I119" s="239"/>
      <c r="J119" s="239"/>
    </row>
    <row r="120" spans="1:10" ht="15" x14ac:dyDescent="0.25">
      <c r="A120" s="239"/>
      <c r="B120" s="947" t="s">
        <v>82</v>
      </c>
      <c r="C120" s="948"/>
      <c r="D120" s="949"/>
      <c r="E120" s="352" t="e">
        <f>IF((I96+SUM(D113:I113)-SUM(D108:I111))&lt;0,0,(I96+SUM(D113:I113)-SUM(D108:I111)))</f>
        <v>#NUM!</v>
      </c>
      <c r="F120" s="353" t="e">
        <f>IF(Kurzantrag!D8&gt;0,Kurzantrag!D8,E120/6)</f>
        <v>#NUM!</v>
      </c>
      <c r="G120" s="239"/>
      <c r="H120" s="239"/>
      <c r="I120" s="239"/>
      <c r="J120" s="239"/>
    </row>
    <row r="121" spans="1:10" x14ac:dyDescent="0.2">
      <c r="A121" s="239"/>
      <c r="B121" s="239"/>
      <c r="C121" s="239"/>
      <c r="D121" s="239"/>
      <c r="E121" s="239"/>
      <c r="F121" s="239"/>
      <c r="G121" s="239"/>
      <c r="H121" s="239"/>
      <c r="I121" s="239"/>
      <c r="J121" s="239"/>
    </row>
    <row r="122" spans="1:10" x14ac:dyDescent="0.2">
      <c r="A122" s="239"/>
      <c r="B122" s="239"/>
      <c r="C122" s="239"/>
      <c r="D122" s="239"/>
      <c r="E122" s="239"/>
      <c r="F122" s="239"/>
      <c r="G122" s="239"/>
      <c r="H122" s="239"/>
      <c r="I122" s="239"/>
      <c r="J122" s="239"/>
    </row>
    <row r="123" spans="1:10" x14ac:dyDescent="0.2">
      <c r="A123" s="239"/>
      <c r="B123" s="239"/>
      <c r="C123" s="239"/>
      <c r="D123" s="239"/>
      <c r="E123" s="239"/>
      <c r="F123" s="239"/>
      <c r="G123" s="239"/>
      <c r="H123" s="239"/>
      <c r="I123" s="239"/>
      <c r="J123" s="239"/>
    </row>
    <row r="124" spans="1:10" x14ac:dyDescent="0.2">
      <c r="A124" s="239"/>
      <c r="B124" s="239"/>
      <c r="C124" s="239"/>
      <c r="D124" s="239"/>
      <c r="E124" s="239"/>
      <c r="F124" s="239"/>
      <c r="G124" s="239"/>
      <c r="H124" s="239"/>
      <c r="I124" s="239"/>
      <c r="J124" s="239"/>
    </row>
    <row r="125" spans="1:10" x14ac:dyDescent="0.2">
      <c r="A125" s="239"/>
      <c r="B125" s="239"/>
      <c r="C125" s="239"/>
      <c r="D125" s="239"/>
      <c r="E125" s="239"/>
      <c r="F125" s="239"/>
      <c r="G125" s="239"/>
      <c r="H125" s="239"/>
      <c r="I125" s="239"/>
      <c r="J125" s="239"/>
    </row>
    <row r="126" spans="1:10" x14ac:dyDescent="0.2">
      <c r="A126" s="239"/>
      <c r="B126" s="239"/>
      <c r="C126" s="239"/>
      <c r="D126" s="239"/>
      <c r="E126" s="239"/>
      <c r="F126" s="239"/>
      <c r="G126" s="239"/>
      <c r="H126" s="239"/>
      <c r="I126" s="239"/>
      <c r="J126" s="239"/>
    </row>
    <row r="127" spans="1:10" x14ac:dyDescent="0.2">
      <c r="A127" s="239"/>
      <c r="B127" s="239"/>
      <c r="C127" s="239"/>
      <c r="D127" s="239"/>
      <c r="E127" s="239"/>
      <c r="F127" s="239"/>
      <c r="G127" s="239"/>
      <c r="H127" s="239"/>
      <c r="I127" s="239"/>
      <c r="J127" s="239"/>
    </row>
    <row r="128" spans="1:10" x14ac:dyDescent="0.2">
      <c r="A128" s="358"/>
      <c r="B128" s="358"/>
      <c r="C128" s="358"/>
      <c r="D128" s="358"/>
      <c r="E128" s="358"/>
      <c r="F128" s="358"/>
      <c r="G128" s="358"/>
      <c r="H128" s="358"/>
      <c r="I128" s="358"/>
      <c r="J128" s="358"/>
    </row>
    <row r="129" spans="1:10" x14ac:dyDescent="0.2">
      <c r="A129" s="358"/>
      <c r="B129" s="358"/>
      <c r="C129" s="358"/>
      <c r="D129" s="358"/>
      <c r="E129" s="358"/>
      <c r="F129" s="358"/>
      <c r="G129" s="358"/>
      <c r="H129" s="358"/>
      <c r="I129" s="358"/>
      <c r="J129" s="358"/>
    </row>
    <row r="130" spans="1:10" x14ac:dyDescent="0.2">
      <c r="A130" s="358"/>
      <c r="B130" s="358"/>
      <c r="C130" s="358"/>
      <c r="D130" s="358"/>
      <c r="E130" s="358"/>
      <c r="F130" s="358"/>
      <c r="G130" s="358"/>
      <c r="H130" s="358"/>
      <c r="I130" s="358"/>
      <c r="J130" s="358"/>
    </row>
    <row r="131" spans="1:10" x14ac:dyDescent="0.2">
      <c r="A131" s="358"/>
      <c r="B131" s="358"/>
      <c r="C131" s="358"/>
      <c r="D131" s="358"/>
      <c r="E131" s="358"/>
      <c r="F131" s="358"/>
      <c r="G131" s="358"/>
      <c r="H131" s="358"/>
      <c r="I131" s="358"/>
      <c r="J131" s="358"/>
    </row>
    <row r="132" spans="1:10" x14ac:dyDescent="0.2">
      <c r="A132" s="358"/>
      <c r="B132" s="358"/>
      <c r="C132" s="358"/>
      <c r="D132" s="358"/>
      <c r="E132" s="358"/>
      <c r="F132" s="358"/>
      <c r="G132" s="358"/>
      <c r="H132" s="358"/>
      <c r="I132" s="358"/>
      <c r="J132" s="358"/>
    </row>
  </sheetData>
  <sheetProtection algorithmName="SHA-512" hashValue="NXfy68heFuglcTQZyfdH1BaQMFZjulBq6Wbt9F3mN/kddxpmIYIe4dQkzDEi35s16o9/3W/Fpyg4n70e3l0Oyg==" saltValue="EplVVSYIwOGM7JabMYVTLw==" spinCount="100000" sheet="1" formatCells="0" formatColumns="0" formatRows="0" insertColumns="0" insertRows="0" insertHyperlinks="0" deleteColumns="0" deleteRows="0" sort="0" pivotTables="0"/>
  <mergeCells count="105">
    <mergeCell ref="I3:J3"/>
    <mergeCell ref="A83:B83"/>
    <mergeCell ref="A84:B84"/>
    <mergeCell ref="A85:B85"/>
    <mergeCell ref="A71:B71"/>
    <mergeCell ref="A78:B78"/>
    <mergeCell ref="A79:B79"/>
    <mergeCell ref="A80:B80"/>
    <mergeCell ref="A81:B81"/>
    <mergeCell ref="A82:B82"/>
    <mergeCell ref="A72:B72"/>
    <mergeCell ref="A73:B73"/>
    <mergeCell ref="A74:B74"/>
    <mergeCell ref="A76:B76"/>
    <mergeCell ref="A77:B77"/>
    <mergeCell ref="A51:B51"/>
    <mergeCell ref="A53:B53"/>
    <mergeCell ref="A39:B39"/>
    <mergeCell ref="A69:B69"/>
    <mergeCell ref="A55:B55"/>
    <mergeCell ref="A56:B56"/>
    <mergeCell ref="A58:B58"/>
    <mergeCell ref="A59:B59"/>
    <mergeCell ref="A34:B34"/>
    <mergeCell ref="C1:H1"/>
    <mergeCell ref="A3:B3"/>
    <mergeCell ref="B114:C114"/>
    <mergeCell ref="E113:E114"/>
    <mergeCell ref="F113:F114"/>
    <mergeCell ref="G113:G114"/>
    <mergeCell ref="H113:H114"/>
    <mergeCell ref="E108:E109"/>
    <mergeCell ref="F108:F109"/>
    <mergeCell ref="G108:G109"/>
    <mergeCell ref="H108:H109"/>
    <mergeCell ref="A6:B6"/>
    <mergeCell ref="A2:B2"/>
    <mergeCell ref="A4:B4"/>
    <mergeCell ref="A5:B5"/>
    <mergeCell ref="A7:B7"/>
    <mergeCell ref="A9:B9"/>
    <mergeCell ref="A10:B10"/>
    <mergeCell ref="A12:B12"/>
    <mergeCell ref="A14:B14"/>
    <mergeCell ref="A35:B35"/>
    <mergeCell ref="A37:B37"/>
    <mergeCell ref="A38:B38"/>
    <mergeCell ref="A75:B75"/>
    <mergeCell ref="I113:I114"/>
    <mergeCell ref="E110:E111"/>
    <mergeCell ref="F110:F111"/>
    <mergeCell ref="G110:G111"/>
    <mergeCell ref="H110:H111"/>
    <mergeCell ref="I110:I111"/>
    <mergeCell ref="I108:I109"/>
    <mergeCell ref="A15:B15"/>
    <mergeCell ref="A16:B16"/>
    <mergeCell ref="A17:B17"/>
    <mergeCell ref="A19:B19"/>
    <mergeCell ref="A24:B24"/>
    <mergeCell ref="A23:B23"/>
    <mergeCell ref="A22:B22"/>
    <mergeCell ref="A20:B20"/>
    <mergeCell ref="A21:B21"/>
    <mergeCell ref="A26:B26"/>
    <mergeCell ref="A28:B28"/>
    <mergeCell ref="A29:B29"/>
    <mergeCell ref="A30:B30"/>
    <mergeCell ref="C36:H36"/>
    <mergeCell ref="A33:B33"/>
    <mergeCell ref="A18:B18"/>
    <mergeCell ref="A60:B60"/>
    <mergeCell ref="A41:B41"/>
    <mergeCell ref="A43:B43"/>
    <mergeCell ref="A44:B44"/>
    <mergeCell ref="A45:B45"/>
    <mergeCell ref="A46:B46"/>
    <mergeCell ref="A48:B48"/>
    <mergeCell ref="A49:B49"/>
    <mergeCell ref="A50:B50"/>
    <mergeCell ref="A54:B54"/>
    <mergeCell ref="A27:B27"/>
    <mergeCell ref="B118:D118"/>
    <mergeCell ref="B119:D119"/>
    <mergeCell ref="B120:D120"/>
    <mergeCell ref="A88:B88"/>
    <mergeCell ref="A89:B89"/>
    <mergeCell ref="A90:B90"/>
    <mergeCell ref="A91:B91"/>
    <mergeCell ref="A92:B92"/>
    <mergeCell ref="B108:C108"/>
    <mergeCell ref="D108:D109"/>
    <mergeCell ref="B109:C109"/>
    <mergeCell ref="B110:C110"/>
    <mergeCell ref="D110:D111"/>
    <mergeCell ref="B111:C111"/>
    <mergeCell ref="B113:C113"/>
    <mergeCell ref="D113:D114"/>
    <mergeCell ref="A61:B61"/>
    <mergeCell ref="A63:B63"/>
    <mergeCell ref="A64:B64"/>
    <mergeCell ref="A65:B65"/>
    <mergeCell ref="A66:B66"/>
    <mergeCell ref="A68:B68"/>
    <mergeCell ref="A40:B40"/>
  </mergeCells>
  <conditionalFormatting sqref="C4:H7">
    <cfRule type="cellIs" dxfId="34" priority="8" operator="greaterThan">
      <formula>0</formula>
    </cfRule>
  </conditionalFormatting>
  <conditionalFormatting sqref="C38:H39 C43:H44 C48:H49 C53:H54 C58:H59 C63:H64">
    <cfRule type="cellIs" dxfId="33" priority="7" operator="greaterThan">
      <formula>0</formula>
    </cfRule>
  </conditionalFormatting>
  <conditionalFormatting sqref="C72:H72">
    <cfRule type="cellIs" dxfId="32" priority="1" operator="greaterThan">
      <formula>0</formula>
    </cfRule>
    <cfRule type="cellIs" dxfId="31" priority="3" operator="greaterThan">
      <formula>0</formula>
    </cfRule>
  </conditionalFormatting>
  <conditionalFormatting sqref="C84:H84">
    <cfRule type="cellIs" dxfId="30" priority="2" operator="greaterThan">
      <formula>0</formula>
    </cfRule>
  </conditionalFormatting>
  <dataValidations count="1">
    <dataValidation type="list" allowBlank="1" showInputMessage="1" showErrorMessage="1" sqref="C3:H3" xr:uid="{00000000-0002-0000-0500-000000000000}">
      <formula1>".,ja,nein"</formula1>
    </dataValidation>
  </dataValidations>
  <pageMargins left="0.70866141732283472" right="0.70866141732283472" top="0.8666666666666667" bottom="0.78740157480314965" header="0.31496062992125984" footer="0.31496062992125984"/>
  <pageSetup paperSize="9" orientation="landscape" r:id="rId1"/>
  <headerFooter>
    <oddHeader>&amp;L&amp;"Arial,Fett"&amp;U3. Ermittlung des anzurechnenden Einkommens des Partners:
&amp;R&amp;D</oddHeader>
    <oddFooter>&amp;R&amp;P</oddFooter>
  </headerFooter>
  <rowBreaks count="2" manualBreakCount="2">
    <brk id="35" max="16383" man="1"/>
    <brk id="69" max="9"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32"/>
  <dimension ref="A1:J141"/>
  <sheetViews>
    <sheetView showGridLines="0" zoomScaleNormal="100" workbookViewId="0">
      <selection activeCell="C18" sqref="C18"/>
    </sheetView>
  </sheetViews>
  <sheetFormatPr baseColWidth="10" defaultRowHeight="14.25" x14ac:dyDescent="0.2"/>
  <cols>
    <col min="1" max="16384" width="11" style="1"/>
  </cols>
  <sheetData>
    <row r="1" spans="1:10" ht="15" x14ac:dyDescent="0.25">
      <c r="A1" s="96"/>
      <c r="B1" s="59"/>
      <c r="C1" s="952" t="s">
        <v>251</v>
      </c>
      <c r="D1" s="952"/>
      <c r="E1" s="952"/>
      <c r="F1" s="952"/>
      <c r="G1" s="952"/>
      <c r="H1" s="952"/>
      <c r="I1" s="2"/>
      <c r="J1" s="2"/>
    </row>
    <row r="2" spans="1:10" ht="15" x14ac:dyDescent="0.25">
      <c r="A2" s="646" t="s">
        <v>29</v>
      </c>
      <c r="B2" s="647"/>
      <c r="C2" s="66" t="e">
        <f>EDATE(BG!D2,-6)</f>
        <v>#NUM!</v>
      </c>
      <c r="D2" s="66" t="e">
        <f>EDATE(BG!D2,-5)</f>
        <v>#NUM!</v>
      </c>
      <c r="E2" s="66" t="e">
        <f>EDATE(BG!D2,-4)</f>
        <v>#NUM!</v>
      </c>
      <c r="F2" s="66" t="e">
        <f>EDATE(BG!D2,-3)</f>
        <v>#NUM!</v>
      </c>
      <c r="G2" s="66" t="e">
        <f>EDATE(BG!D2,-2)</f>
        <v>#NUM!</v>
      </c>
      <c r="H2" s="66" t="e">
        <f>EDATE(BG!D2,-1)</f>
        <v>#NUM!</v>
      </c>
      <c r="I2" s="208"/>
      <c r="J2" s="208"/>
    </row>
    <row r="3" spans="1:10" x14ac:dyDescent="0.2">
      <c r="A3" s="1021" t="s">
        <v>66</v>
      </c>
      <c r="B3" s="1022"/>
      <c r="C3" s="69"/>
      <c r="D3" s="69"/>
      <c r="E3" s="69"/>
      <c r="F3" s="69"/>
      <c r="G3" s="69"/>
      <c r="H3" s="69"/>
      <c r="I3" s="110"/>
      <c r="J3" s="110"/>
    </row>
    <row r="4" spans="1:10" x14ac:dyDescent="0.2">
      <c r="A4" s="1036" t="s">
        <v>38</v>
      </c>
      <c r="B4" s="1037"/>
      <c r="C4" s="70"/>
      <c r="D4" s="70"/>
      <c r="E4" s="70"/>
      <c r="F4" s="70"/>
      <c r="G4" s="70"/>
      <c r="H4" s="70"/>
      <c r="I4" s="110"/>
      <c r="J4" s="110"/>
    </row>
    <row r="5" spans="1:10" x14ac:dyDescent="0.2">
      <c r="A5" s="1025" t="s">
        <v>67</v>
      </c>
      <c r="B5" s="1026"/>
      <c r="C5" s="73"/>
      <c r="D5" s="73"/>
      <c r="E5" s="73"/>
      <c r="F5" s="73"/>
      <c r="G5" s="73"/>
      <c r="H5" s="73"/>
      <c r="I5" s="110"/>
      <c r="J5" s="110"/>
    </row>
    <row r="6" spans="1:10" x14ac:dyDescent="0.2">
      <c r="A6" s="1019" t="s">
        <v>68</v>
      </c>
      <c r="B6" s="1020"/>
      <c r="C6" s="74"/>
      <c r="D6" s="74"/>
      <c r="E6" s="74"/>
      <c r="F6" s="74"/>
      <c r="G6" s="74"/>
      <c r="H6" s="74"/>
      <c r="I6" s="110"/>
      <c r="J6" s="110"/>
    </row>
    <row r="7" spans="1:10" x14ac:dyDescent="0.2">
      <c r="A7" s="100"/>
      <c r="B7" s="100"/>
      <c r="C7" s="143">
        <f t="shared" ref="C7:H7" si="0">IF((C3+C4)=0,0,IF(AND((C3-C5)&gt;=0,(C4-C6)&gt;=0),(C3+C4-C5-C6),IF(AND((C3-C5)&gt;0,(C4-C6)&lt;0),(C3-C5),IF(AND((C3-C5)&lt;0,(C4-C6)&gt;0),(C4-C6),IF((C3-C5)&gt;0,(C3-C5),IF((C3-C5)&lt;0,0))))))</f>
        <v>0</v>
      </c>
      <c r="D7" s="143">
        <f t="shared" si="0"/>
        <v>0</v>
      </c>
      <c r="E7" s="143">
        <f t="shared" si="0"/>
        <v>0</v>
      </c>
      <c r="F7" s="143">
        <f t="shared" si="0"/>
        <v>0</v>
      </c>
      <c r="G7" s="143">
        <f t="shared" si="0"/>
        <v>0</v>
      </c>
      <c r="H7" s="143">
        <f t="shared" si="0"/>
        <v>0</v>
      </c>
      <c r="I7" s="59"/>
      <c r="J7" s="59"/>
    </row>
    <row r="8" spans="1:10" x14ac:dyDescent="0.2">
      <c r="A8" s="1038" t="s">
        <v>69</v>
      </c>
      <c r="B8" s="1039"/>
      <c r="C8" s="69"/>
      <c r="D8" s="69"/>
      <c r="E8" s="69"/>
      <c r="F8" s="69"/>
      <c r="G8" s="69"/>
      <c r="H8" s="69"/>
      <c r="I8" s="110"/>
      <c r="J8" s="110"/>
    </row>
    <row r="9" spans="1:10" x14ac:dyDescent="0.2">
      <c r="A9" s="1040" t="s">
        <v>38</v>
      </c>
      <c r="B9" s="1041"/>
      <c r="C9" s="70"/>
      <c r="D9" s="70"/>
      <c r="E9" s="70"/>
      <c r="F9" s="70"/>
      <c r="G9" s="70"/>
      <c r="H9" s="70"/>
      <c r="I9" s="110"/>
      <c r="J9" s="110"/>
    </row>
    <row r="10" spans="1:10" x14ac:dyDescent="0.2">
      <c r="A10" s="1025" t="s">
        <v>67</v>
      </c>
      <c r="B10" s="1026"/>
      <c r="C10" s="69"/>
      <c r="D10" s="69"/>
      <c r="E10" s="69"/>
      <c r="F10" s="69"/>
      <c r="G10" s="69"/>
      <c r="H10" s="69"/>
      <c r="I10" s="110"/>
      <c r="J10" s="110"/>
    </row>
    <row r="11" spans="1:10" x14ac:dyDescent="0.2">
      <c r="A11" s="1019" t="s">
        <v>68</v>
      </c>
      <c r="B11" s="1020"/>
      <c r="C11" s="74"/>
      <c r="D11" s="74"/>
      <c r="E11" s="74"/>
      <c r="F11" s="74"/>
      <c r="G11" s="74"/>
      <c r="H11" s="74"/>
      <c r="I11" s="110"/>
      <c r="J11" s="110"/>
    </row>
    <row r="12" spans="1:10" x14ac:dyDescent="0.2">
      <c r="A12" s="101"/>
      <c r="B12" s="101"/>
      <c r="C12" s="143">
        <f t="shared" ref="C12:H12" si="1">IF((C8+C9)=0,0,IF(AND((C8-C10)&gt;=0,(C9-C11)&gt;=0),(C8+C9-C10-C11),IF(AND((C8-C10)&gt;0,(C9-C11)&lt;0),(C8-C10),IF(AND((C8-C10)&lt;0,(C9-C11)&gt;0),(C9-C11),IF((C8-C10)&gt;0,(C8-C10),IF((C8-C10)&lt;0,0))))))</f>
        <v>0</v>
      </c>
      <c r="D12" s="143">
        <f t="shared" si="1"/>
        <v>0</v>
      </c>
      <c r="E12" s="143">
        <f t="shared" si="1"/>
        <v>0</v>
      </c>
      <c r="F12" s="143">
        <f t="shared" si="1"/>
        <v>0</v>
      </c>
      <c r="G12" s="143">
        <f t="shared" si="1"/>
        <v>0</v>
      </c>
      <c r="H12" s="143">
        <f t="shared" si="1"/>
        <v>0</v>
      </c>
      <c r="I12" s="59"/>
      <c r="J12" s="59"/>
    </row>
    <row r="13" spans="1:10" x14ac:dyDescent="0.2">
      <c r="A13" s="1021" t="s">
        <v>70</v>
      </c>
      <c r="B13" s="1022"/>
      <c r="C13" s="69"/>
      <c r="D13" s="69"/>
      <c r="E13" s="69"/>
      <c r="F13" s="69"/>
      <c r="G13" s="69"/>
      <c r="H13" s="69"/>
      <c r="I13" s="110"/>
      <c r="J13" s="110"/>
    </row>
    <row r="14" spans="1:10" x14ac:dyDescent="0.2">
      <c r="A14" s="1023" t="s">
        <v>38</v>
      </c>
      <c r="B14" s="1024"/>
      <c r="C14" s="70"/>
      <c r="D14" s="70"/>
      <c r="E14" s="70"/>
      <c r="F14" s="70"/>
      <c r="G14" s="70"/>
      <c r="H14" s="70"/>
      <c r="I14" s="110"/>
      <c r="J14" s="110"/>
    </row>
    <row r="15" spans="1:10" x14ac:dyDescent="0.2">
      <c r="A15" s="1025" t="s">
        <v>67</v>
      </c>
      <c r="B15" s="1026"/>
      <c r="C15" s="75"/>
      <c r="D15" s="69"/>
      <c r="E15" s="69"/>
      <c r="F15" s="69"/>
      <c r="G15" s="69"/>
      <c r="H15" s="69"/>
      <c r="I15" s="110"/>
      <c r="J15" s="110"/>
    </row>
    <row r="16" spans="1:10" x14ac:dyDescent="0.2">
      <c r="A16" s="1019" t="s">
        <v>68</v>
      </c>
      <c r="B16" s="1020"/>
      <c r="C16" s="76"/>
      <c r="D16" s="77"/>
      <c r="E16" s="77"/>
      <c r="F16" s="77"/>
      <c r="G16" s="77"/>
      <c r="H16" s="77"/>
      <c r="I16" s="110"/>
      <c r="J16" s="110"/>
    </row>
    <row r="17" spans="1:10" x14ac:dyDescent="0.2">
      <c r="A17" s="101"/>
      <c r="B17" s="101"/>
      <c r="C17" s="143">
        <f t="shared" ref="C17:H17" si="2">IF((C13+C14)=0,0,IF(AND((C13-C15)&gt;=0,(C14-C16)&gt;=0),(C13+C14-C15-C16),IF(AND((C13-C15)&gt;0,(C14-C16)&lt;0),(C13-C15),IF(AND((C13-C15)&lt;0,(C14-C16)&gt;0),(C14-C16),IF((C13-C15)&gt;0,(C13-C15),IF((C13-C15)&lt;0,0))))))</f>
        <v>0</v>
      </c>
      <c r="D17" s="143">
        <f t="shared" si="2"/>
        <v>0</v>
      </c>
      <c r="E17" s="143">
        <f t="shared" si="2"/>
        <v>0</v>
      </c>
      <c r="F17" s="143">
        <f t="shared" si="2"/>
        <v>0</v>
      </c>
      <c r="G17" s="143">
        <f t="shared" si="2"/>
        <v>0</v>
      </c>
      <c r="H17" s="143">
        <f t="shared" si="2"/>
        <v>0</v>
      </c>
      <c r="I17" s="59"/>
      <c r="J17" s="59"/>
    </row>
    <row r="18" spans="1:10" x14ac:dyDescent="0.2">
      <c r="A18" s="1021" t="s">
        <v>516</v>
      </c>
      <c r="B18" s="1022"/>
      <c r="C18" s="78"/>
      <c r="D18" s="78"/>
      <c r="E18" s="78"/>
      <c r="F18" s="78"/>
      <c r="G18" s="78"/>
      <c r="H18" s="78"/>
      <c r="I18" s="110"/>
      <c r="J18" s="110"/>
    </row>
    <row r="19" spans="1:10" x14ac:dyDescent="0.2">
      <c r="A19" s="610"/>
      <c r="B19" s="611" t="s">
        <v>517</v>
      </c>
      <c r="C19" s="612"/>
      <c r="D19" s="612"/>
      <c r="E19" s="612"/>
      <c r="F19" s="612"/>
      <c r="G19" s="612"/>
      <c r="H19" s="612"/>
      <c r="I19" s="110"/>
      <c r="J19" s="110"/>
    </row>
    <row r="20" spans="1:10" x14ac:dyDescent="0.2">
      <c r="A20" s="1023" t="s">
        <v>515</v>
      </c>
      <c r="B20" s="1024"/>
      <c r="C20" s="111"/>
      <c r="D20" s="111"/>
      <c r="E20" s="111"/>
      <c r="F20" s="111"/>
      <c r="G20" s="111"/>
      <c r="H20" s="111"/>
      <c r="I20" s="110"/>
      <c r="J20" s="110"/>
    </row>
    <row r="21" spans="1:10" x14ac:dyDescent="0.2">
      <c r="A21" s="1025" t="s">
        <v>67</v>
      </c>
      <c r="B21" s="1026"/>
      <c r="C21" s="75"/>
      <c r="D21" s="78"/>
      <c r="E21" s="78"/>
      <c r="F21" s="78"/>
      <c r="G21" s="78"/>
      <c r="H21" s="78"/>
      <c r="I21" s="110"/>
      <c r="J21" s="110"/>
    </row>
    <row r="22" spans="1:10" x14ac:dyDescent="0.2">
      <c r="A22" s="1019" t="s">
        <v>68</v>
      </c>
      <c r="B22" s="1020"/>
      <c r="C22" s="79"/>
      <c r="D22" s="74"/>
      <c r="E22" s="74"/>
      <c r="F22" s="74"/>
      <c r="G22" s="74"/>
      <c r="H22" s="74"/>
      <c r="I22" s="110"/>
      <c r="J22" s="110"/>
    </row>
    <row r="23" spans="1:10" s="614" customFormat="1" x14ac:dyDescent="0.2">
      <c r="A23" s="615"/>
      <c r="B23" s="615"/>
      <c r="C23" s="143">
        <f>IF((C18+C19+C20)=0,0,IF(AND((C18+C19-C21)&gt;=0,(C20-C22)&gt;=0),(C18+C19+C20-C21-C22),IF(AND((C18+C19-C21)&gt;0,(C20-C22)&lt;0),(C18+C19-C21),IF(AND((C18+C19-C21)&lt;0,(C20-C22)&gt;0),(C20-C22),IF((C18+C19-C21)&gt;0,(C18+C19-C21),IF((C18+C19-C21)&lt;0,0))))))</f>
        <v>0</v>
      </c>
      <c r="D23" s="143">
        <f t="shared" ref="D23:H23" si="3">IF((D18+D19+D20)=0,0,IF(AND((D18+D19-D21)&gt;=0,(D20-D22)&gt;=0),(D18+D19+D20-D21-D22),IF(AND((D18+D19-D21)&gt;0,(D20-D22)&lt;0),(D18+D19-D21),IF(AND((D18+D19-D21)&lt;0,(D20-D22)&gt;0),(D20-D22),IF((D18+D19-D21)&gt;0,(D18+D19-D21),IF((D18+D19-D21)&lt;0,0))))))</f>
        <v>0</v>
      </c>
      <c r="E23" s="143">
        <f t="shared" si="3"/>
        <v>0</v>
      </c>
      <c r="F23" s="143">
        <f t="shared" si="3"/>
        <v>0</v>
      </c>
      <c r="G23" s="143">
        <f t="shared" si="3"/>
        <v>0</v>
      </c>
      <c r="H23" s="143">
        <f t="shared" si="3"/>
        <v>0</v>
      </c>
      <c r="I23" s="81"/>
      <c r="J23" s="81"/>
    </row>
    <row r="24" spans="1:10" x14ac:dyDescent="0.2">
      <c r="A24" s="1021" t="s">
        <v>71</v>
      </c>
      <c r="B24" s="1022"/>
      <c r="C24" s="69"/>
      <c r="D24" s="69"/>
      <c r="E24" s="69"/>
      <c r="F24" s="69"/>
      <c r="G24" s="69"/>
      <c r="H24" s="69"/>
      <c r="I24" s="110"/>
      <c r="J24" s="110"/>
    </row>
    <row r="25" spans="1:10" x14ac:dyDescent="0.2">
      <c r="A25" s="1023" t="s">
        <v>38</v>
      </c>
      <c r="B25" s="1024"/>
      <c r="C25" s="70"/>
      <c r="D25" s="70"/>
      <c r="E25" s="70"/>
      <c r="F25" s="70"/>
      <c r="G25" s="70"/>
      <c r="H25" s="70"/>
      <c r="I25" s="110"/>
      <c r="J25" s="110"/>
    </row>
    <row r="26" spans="1:10" x14ac:dyDescent="0.2">
      <c r="A26" s="1025" t="s">
        <v>67</v>
      </c>
      <c r="B26" s="1026"/>
      <c r="C26" s="75"/>
      <c r="D26" s="69"/>
      <c r="E26" s="69"/>
      <c r="F26" s="69"/>
      <c r="G26" s="69"/>
      <c r="H26" s="69"/>
      <c r="I26" s="110"/>
      <c r="J26" s="110"/>
    </row>
    <row r="27" spans="1:10" x14ac:dyDescent="0.2">
      <c r="A27" s="1027" t="s">
        <v>68</v>
      </c>
      <c r="B27" s="1028"/>
      <c r="C27" s="79"/>
      <c r="D27" s="74"/>
      <c r="E27" s="74"/>
      <c r="F27" s="74"/>
      <c r="G27" s="74"/>
      <c r="H27" s="74"/>
      <c r="I27" s="110"/>
      <c r="J27" s="110"/>
    </row>
    <row r="28" spans="1:10" x14ac:dyDescent="0.2">
      <c r="A28" s="102"/>
      <c r="B28" s="648"/>
      <c r="C28" s="144">
        <f t="shared" ref="C28:H28" si="4">IF((C24+C25)=0,0,IF(AND((C24-C26)&gt;=0,(C25-C27)&gt;=0),(C24+C25-C26-C27),IF(AND((C24-C26)&gt;0,(C25-C27)&lt;0),(C24-C26),IF(AND((C24-C26)&lt;0,(C25-C27)&gt;0),(C25-C27),IF((C24-C26)&gt;0,(C24-C26),IF((C24-C26)&lt;0,0))))))</f>
        <v>0</v>
      </c>
      <c r="D28" s="144">
        <f t="shared" si="4"/>
        <v>0</v>
      </c>
      <c r="E28" s="144">
        <f t="shared" si="4"/>
        <v>0</v>
      </c>
      <c r="F28" s="144">
        <f t="shared" si="4"/>
        <v>0</v>
      </c>
      <c r="G28" s="144">
        <f t="shared" si="4"/>
        <v>0</v>
      </c>
      <c r="H28" s="144">
        <f t="shared" si="4"/>
        <v>0</v>
      </c>
      <c r="I28" s="2"/>
      <c r="J28" s="2"/>
    </row>
    <row r="29" spans="1:10" s="614" customFormat="1" x14ac:dyDescent="0.2">
      <c r="A29" s="84"/>
      <c r="B29" s="649"/>
      <c r="C29" s="649">
        <f>IF(AND(C18&gt;0,AS!C53&gt;0),C18,0)</f>
        <v>0</v>
      </c>
      <c r="D29" s="649">
        <f>IF(AND(D18&gt;0,AS!D53&gt;0),D18,0)</f>
        <v>0</v>
      </c>
      <c r="E29" s="649">
        <f>IF(AND(E18&gt;0,AS!E53&gt;0),E18,0)</f>
        <v>0</v>
      </c>
      <c r="F29" s="649">
        <f>IF(AND(F18&gt;0,AS!F53&gt;0),F18,0)</f>
        <v>0</v>
      </c>
      <c r="G29" s="649">
        <f>IF(AND(G18&gt;0,AS!G53&gt;0),G18,0)</f>
        <v>0</v>
      </c>
      <c r="H29" s="649">
        <f>IF(AND(H18&gt;0,AS!H53&gt;0),H18,0)</f>
        <v>0</v>
      </c>
      <c r="I29" s="617"/>
      <c r="J29" s="613"/>
    </row>
    <row r="30" spans="1:10" x14ac:dyDescent="0.2">
      <c r="A30" s="2"/>
      <c r="B30" s="1029"/>
      <c r="C30" s="1029"/>
      <c r="D30" s="157"/>
      <c r="E30" s="157"/>
      <c r="F30" s="157"/>
      <c r="G30" s="157"/>
      <c r="H30" s="157"/>
      <c r="I30" s="157"/>
      <c r="J30" s="2"/>
    </row>
    <row r="31" spans="1:10" x14ac:dyDescent="0.2">
      <c r="A31" s="2"/>
      <c r="B31" s="1018"/>
      <c r="C31" s="1018"/>
      <c r="D31" s="156"/>
      <c r="E31" s="156"/>
      <c r="F31" s="156"/>
      <c r="G31" s="156"/>
      <c r="H31" s="156"/>
      <c r="I31" s="156"/>
      <c r="J31" s="2"/>
    </row>
    <row r="32" spans="1:10" x14ac:dyDescent="0.2">
      <c r="A32" s="2"/>
      <c r="B32" s="1018"/>
      <c r="C32" s="1018"/>
      <c r="D32" s="156"/>
      <c r="E32" s="156"/>
      <c r="F32" s="156"/>
      <c r="G32" s="156"/>
      <c r="H32" s="156"/>
      <c r="I32" s="156"/>
      <c r="J32" s="2"/>
    </row>
    <row r="33" spans="1:10" x14ac:dyDescent="0.2">
      <c r="A33" s="2"/>
      <c r="B33" s="185"/>
      <c r="C33" s="185"/>
      <c r="D33" s="156"/>
      <c r="E33" s="156"/>
      <c r="F33" s="156"/>
      <c r="G33" s="156"/>
      <c r="H33" s="156"/>
      <c r="I33" s="156"/>
      <c r="J33" s="2"/>
    </row>
    <row r="34" spans="1:10" x14ac:dyDescent="0.2">
      <c r="A34" s="2"/>
      <c r="B34" s="2"/>
      <c r="C34" s="2"/>
      <c r="D34" s="2"/>
      <c r="E34" s="2"/>
      <c r="F34" s="2"/>
      <c r="G34" s="2"/>
      <c r="H34" s="2"/>
      <c r="I34" s="2"/>
      <c r="J34" s="2"/>
    </row>
    <row r="35" spans="1:10" x14ac:dyDescent="0.2">
      <c r="A35" s="2"/>
      <c r="B35" s="2"/>
      <c r="C35" s="2"/>
      <c r="D35" s="2"/>
      <c r="E35" s="2"/>
      <c r="F35" s="2"/>
      <c r="G35" s="2"/>
      <c r="H35" s="2"/>
      <c r="I35" s="2"/>
      <c r="J35" s="2"/>
    </row>
    <row r="36" spans="1:10" x14ac:dyDescent="0.2">
      <c r="A36" s="2"/>
      <c r="B36" s="2"/>
      <c r="C36" s="2"/>
      <c r="D36" s="2"/>
      <c r="E36" s="2"/>
      <c r="F36" s="2"/>
      <c r="G36" s="2"/>
      <c r="H36" s="2"/>
      <c r="I36" s="2"/>
      <c r="J36" s="2"/>
    </row>
    <row r="37" spans="1:10" ht="15" x14ac:dyDescent="0.25">
      <c r="A37" s="1008" t="s">
        <v>29</v>
      </c>
      <c r="B37" s="1009"/>
      <c r="C37" s="66" t="e">
        <f>EDATE(BG!D2,-6)</f>
        <v>#NUM!</v>
      </c>
      <c r="D37" s="66" t="e">
        <f>EDATE(BG!D2,-5)</f>
        <v>#NUM!</v>
      </c>
      <c r="E37" s="66" t="e">
        <f>EDATE(BG!D2,-4)</f>
        <v>#NUM!</v>
      </c>
      <c r="F37" s="66" t="e">
        <f>EDATE(BG!D2,-3)</f>
        <v>#NUM!</v>
      </c>
      <c r="G37" s="66" t="e">
        <f>EDATE(BG!D2,-2)</f>
        <v>#NUM!</v>
      </c>
      <c r="H37" s="66" t="e">
        <f>EDATE(BG!D2,-1)</f>
        <v>#NUM!</v>
      </c>
      <c r="I37" s="208"/>
      <c r="J37" s="208"/>
    </row>
    <row r="38" spans="1:10" x14ac:dyDescent="0.2">
      <c r="A38" s="1010" t="s">
        <v>73</v>
      </c>
      <c r="B38" s="1011"/>
      <c r="C38" s="80"/>
      <c r="D38" s="80"/>
      <c r="E38" s="80"/>
      <c r="F38" s="80"/>
      <c r="G38" s="80"/>
      <c r="H38" s="80"/>
      <c r="I38" s="110"/>
      <c r="J38" s="110"/>
    </row>
    <row r="39" spans="1:10" x14ac:dyDescent="0.2">
      <c r="A39" s="1002" t="s">
        <v>74</v>
      </c>
      <c r="B39" s="1003"/>
      <c r="C39" s="80"/>
      <c r="D39" s="80"/>
      <c r="E39" s="80"/>
      <c r="F39" s="80"/>
      <c r="G39" s="80"/>
      <c r="H39" s="80"/>
      <c r="I39" s="110"/>
      <c r="J39" s="110"/>
    </row>
    <row r="40" spans="1:10" x14ac:dyDescent="0.2">
      <c r="A40" s="2"/>
      <c r="B40" s="2"/>
      <c r="C40" s="2"/>
      <c r="D40" s="2"/>
      <c r="E40" s="2"/>
      <c r="F40" s="2"/>
      <c r="G40" s="2"/>
      <c r="H40" s="2"/>
      <c r="I40" s="59"/>
      <c r="J40" s="59"/>
    </row>
    <row r="41" spans="1:10" x14ac:dyDescent="0.2">
      <c r="A41" s="1012" t="s">
        <v>252</v>
      </c>
      <c r="B41" s="1013"/>
      <c r="C41" s="201"/>
      <c r="D41" s="201"/>
      <c r="E41" s="201"/>
      <c r="F41" s="201"/>
      <c r="G41" s="201"/>
      <c r="H41" s="201"/>
      <c r="I41" s="110"/>
      <c r="J41" s="110"/>
    </row>
    <row r="42" spans="1:10" x14ac:dyDescent="0.2">
      <c r="A42" s="1014" t="s">
        <v>313</v>
      </c>
      <c r="B42" s="1015"/>
      <c r="C42" s="110"/>
      <c r="D42" s="110"/>
      <c r="E42" s="110"/>
      <c r="F42" s="110"/>
      <c r="G42" s="110"/>
      <c r="H42" s="123"/>
      <c r="I42" s="59"/>
      <c r="J42" s="59"/>
    </row>
    <row r="43" spans="1:10" x14ac:dyDescent="0.2">
      <c r="A43" s="1030" t="s">
        <v>314</v>
      </c>
      <c r="B43" s="1031"/>
      <c r="C43" s="112"/>
      <c r="D43" s="112"/>
      <c r="E43" s="112"/>
      <c r="F43" s="112"/>
      <c r="G43" s="112"/>
      <c r="H43" s="112"/>
      <c r="I43" s="110"/>
      <c r="J43" s="110"/>
    </row>
    <row r="44" spans="1:10" x14ac:dyDescent="0.2">
      <c r="A44" s="1032" t="s">
        <v>315</v>
      </c>
      <c r="B44" s="1033"/>
      <c r="C44" s="113"/>
      <c r="D44" s="113"/>
      <c r="E44" s="113"/>
      <c r="F44" s="113"/>
      <c r="G44" s="113"/>
      <c r="H44" s="113"/>
      <c r="I44" s="110"/>
      <c r="J44" s="110"/>
    </row>
    <row r="45" spans="1:10" x14ac:dyDescent="0.2">
      <c r="A45" s="1034" t="s">
        <v>316</v>
      </c>
      <c r="B45" s="1035"/>
      <c r="C45" s="113"/>
      <c r="D45" s="113"/>
      <c r="E45" s="113"/>
      <c r="F45" s="113"/>
      <c r="G45" s="113"/>
      <c r="H45" s="113"/>
      <c r="I45" s="110"/>
      <c r="J45" s="110"/>
    </row>
    <row r="46" spans="1:10" x14ac:dyDescent="0.2">
      <c r="A46" s="1005" t="s">
        <v>317</v>
      </c>
      <c r="B46" s="1006"/>
      <c r="C46" s="124" t="e">
        <f t="shared" ref="C46:H46" si="5">IF(AND(C96=0,C41&gt;0,C61&gt;17),30,0)</f>
        <v>#NUM!</v>
      </c>
      <c r="D46" s="124" t="e">
        <f t="shared" si="5"/>
        <v>#NUM!</v>
      </c>
      <c r="E46" s="124" t="e">
        <f t="shared" si="5"/>
        <v>#NUM!</v>
      </c>
      <c r="F46" s="124" t="e">
        <f t="shared" si="5"/>
        <v>#NUM!</v>
      </c>
      <c r="G46" s="124" t="e">
        <f t="shared" si="5"/>
        <v>#NUM!</v>
      </c>
      <c r="H46" s="124" t="e">
        <f t="shared" si="5"/>
        <v>#NUM!</v>
      </c>
      <c r="I46" s="59"/>
      <c r="J46" s="59"/>
    </row>
    <row r="47" spans="1:10" x14ac:dyDescent="0.2">
      <c r="A47" s="1007" t="s">
        <v>58</v>
      </c>
      <c r="B47" s="1007"/>
      <c r="C47" s="114"/>
      <c r="D47" s="114"/>
      <c r="E47" s="114"/>
      <c r="F47" s="114"/>
      <c r="G47" s="114"/>
      <c r="H47" s="114"/>
      <c r="I47" s="110"/>
      <c r="J47" s="110"/>
    </row>
    <row r="48" spans="1:10" x14ac:dyDescent="0.2">
      <c r="A48" s="1016" t="s">
        <v>318</v>
      </c>
      <c r="B48" s="1017"/>
      <c r="C48" s="112"/>
      <c r="D48" s="112"/>
      <c r="E48" s="112"/>
      <c r="F48" s="112"/>
      <c r="G48" s="112"/>
      <c r="H48" s="112"/>
      <c r="I48" s="110"/>
      <c r="J48" s="110"/>
    </row>
    <row r="49" spans="1:10" x14ac:dyDescent="0.2">
      <c r="A49" s="999" t="s">
        <v>319</v>
      </c>
      <c r="B49" s="999"/>
      <c r="C49" s="115"/>
      <c r="D49" s="115"/>
      <c r="E49" s="115"/>
      <c r="F49" s="115"/>
      <c r="G49" s="115"/>
      <c r="H49" s="115"/>
      <c r="I49" s="110"/>
      <c r="J49" s="110"/>
    </row>
    <row r="50" spans="1:10" x14ac:dyDescent="0.2">
      <c r="A50" s="999" t="s">
        <v>320</v>
      </c>
      <c r="B50" s="999"/>
      <c r="C50" s="68">
        <f t="shared" ref="C50:H50" si="6">IF(C41=ISBLANK(0),0,IF(C96&gt;0,SUM(C43:C49),IF(C96=0,IF(SUM(C43:C49)&lt;100,100,SUM(C43:C49)))))</f>
        <v>0</v>
      </c>
      <c r="D50" s="68">
        <f t="shared" si="6"/>
        <v>0</v>
      </c>
      <c r="E50" s="68">
        <f t="shared" si="6"/>
        <v>0</v>
      </c>
      <c r="F50" s="68">
        <f t="shared" si="6"/>
        <v>0</v>
      </c>
      <c r="G50" s="68">
        <f t="shared" si="6"/>
        <v>0</v>
      </c>
      <c r="H50" s="68">
        <f t="shared" si="6"/>
        <v>0</v>
      </c>
      <c r="I50" s="110"/>
      <c r="J50" s="110"/>
    </row>
    <row r="51" spans="1:10" x14ac:dyDescent="0.2">
      <c r="A51" s="999" t="s">
        <v>322</v>
      </c>
      <c r="B51" s="999"/>
      <c r="C51" s="68">
        <f t="shared" ref="C51:H51" si="7">IF(C41-C50&lt;0,0,C41-C50)</f>
        <v>0</v>
      </c>
      <c r="D51" s="68">
        <f t="shared" si="7"/>
        <v>0</v>
      </c>
      <c r="E51" s="68">
        <f t="shared" si="7"/>
        <v>0</v>
      </c>
      <c r="F51" s="68">
        <f t="shared" si="7"/>
        <v>0</v>
      </c>
      <c r="G51" s="68">
        <f t="shared" si="7"/>
        <v>0</v>
      </c>
      <c r="H51" s="68">
        <f t="shared" si="7"/>
        <v>0</v>
      </c>
      <c r="I51" s="59"/>
      <c r="J51" s="59"/>
    </row>
    <row r="52" spans="1:10" x14ac:dyDescent="0.2">
      <c r="A52" s="1000" t="s">
        <v>321</v>
      </c>
      <c r="B52" s="1001"/>
      <c r="C52" s="200"/>
      <c r="D52" s="200"/>
      <c r="E52" s="200"/>
      <c r="F52" s="200"/>
      <c r="G52" s="200"/>
      <c r="H52" s="200"/>
      <c r="I52" s="110"/>
      <c r="J52" s="110"/>
    </row>
    <row r="53" spans="1:10" x14ac:dyDescent="0.2">
      <c r="A53" s="1002" t="s">
        <v>68</v>
      </c>
      <c r="B53" s="1003"/>
      <c r="C53" s="80"/>
      <c r="D53" s="80"/>
      <c r="E53" s="80"/>
      <c r="F53" s="80"/>
      <c r="G53" s="80"/>
      <c r="H53" s="80"/>
      <c r="I53" s="110"/>
      <c r="J53" s="110"/>
    </row>
    <row r="54" spans="1:10" x14ac:dyDescent="0.2">
      <c r="A54" s="2"/>
      <c r="B54" s="2"/>
      <c r="C54" s="93">
        <f t="shared" ref="C54:H54" si="8">IF((C52-C53)&lt;0,0,(C52-C53))</f>
        <v>0</v>
      </c>
      <c r="D54" s="93">
        <f t="shared" si="8"/>
        <v>0</v>
      </c>
      <c r="E54" s="93">
        <f t="shared" si="8"/>
        <v>0</v>
      </c>
      <c r="F54" s="93">
        <f t="shared" si="8"/>
        <v>0</v>
      </c>
      <c r="G54" s="93">
        <f t="shared" si="8"/>
        <v>0</v>
      </c>
      <c r="H54" s="93">
        <f t="shared" si="8"/>
        <v>0</v>
      </c>
      <c r="I54" s="59"/>
      <c r="J54" s="59"/>
    </row>
    <row r="55" spans="1:10" x14ac:dyDescent="0.2">
      <c r="A55" s="2"/>
      <c r="B55" s="2"/>
      <c r="C55" s="93">
        <f t="shared" ref="C55:H55" si="9">IF(C38-C39&lt;0,0,C38-C39)</f>
        <v>0</v>
      </c>
      <c r="D55" s="93">
        <f t="shared" si="9"/>
        <v>0</v>
      </c>
      <c r="E55" s="93">
        <f t="shared" si="9"/>
        <v>0</v>
      </c>
      <c r="F55" s="93">
        <f t="shared" si="9"/>
        <v>0</v>
      </c>
      <c r="G55" s="93">
        <f t="shared" si="9"/>
        <v>0</v>
      </c>
      <c r="H55" s="93">
        <f t="shared" si="9"/>
        <v>0</v>
      </c>
      <c r="I55" s="59"/>
      <c r="J55" s="59"/>
    </row>
    <row r="56" spans="1:10" ht="15" x14ac:dyDescent="0.25">
      <c r="A56" s="1004" t="s">
        <v>75</v>
      </c>
      <c r="B56" s="1004"/>
      <c r="C56" s="125" t="s">
        <v>323</v>
      </c>
      <c r="D56" s="122"/>
      <c r="E56" s="122"/>
      <c r="F56" s="122"/>
      <c r="G56" s="122"/>
      <c r="H56" s="122"/>
      <c r="I56" s="59"/>
      <c r="J56" s="59"/>
    </row>
    <row r="57" spans="1:10" x14ac:dyDescent="0.2">
      <c r="A57" s="998" t="s">
        <v>56</v>
      </c>
      <c r="B57" s="998"/>
      <c r="C57" s="72"/>
      <c r="D57" s="72"/>
      <c r="E57" s="72"/>
      <c r="F57" s="72"/>
      <c r="G57" s="72"/>
      <c r="H57" s="72"/>
      <c r="I57" s="110"/>
      <c r="J57" s="110"/>
    </row>
    <row r="58" spans="1:10" x14ac:dyDescent="0.2">
      <c r="A58" s="998" t="s">
        <v>57</v>
      </c>
      <c r="B58" s="998"/>
      <c r="C58" s="72"/>
      <c r="D58" s="72"/>
      <c r="E58" s="72"/>
      <c r="F58" s="72"/>
      <c r="G58" s="72"/>
      <c r="H58" s="72"/>
      <c r="I58" s="110"/>
      <c r="J58" s="110"/>
    </row>
    <row r="59" spans="1:10" x14ac:dyDescent="0.2">
      <c r="A59" s="998" t="s">
        <v>58</v>
      </c>
      <c r="B59" s="998"/>
      <c r="C59" s="72"/>
      <c r="D59" s="72"/>
      <c r="E59" s="72"/>
      <c r="F59" s="72"/>
      <c r="G59" s="72"/>
      <c r="H59" s="72"/>
      <c r="I59" s="110"/>
      <c r="J59" s="110"/>
    </row>
    <row r="60" spans="1:10" x14ac:dyDescent="0.2">
      <c r="A60" s="966" t="s">
        <v>76</v>
      </c>
      <c r="B60" s="966"/>
      <c r="C60" s="105">
        <f>IF(C61&lt;18,0,IF(C46=30,0,IF((C75+C76+H78)&gt;0,0,IF(C96=0,30,IF(C96&gt;0,0)))))</f>
        <v>0</v>
      </c>
      <c r="D60" s="105">
        <f>IF(D61&lt;18,0,IF(D46=30,0,IF((D75+D76+H78)&gt;0,0,IF(D96=0,30,IF(D96&gt;0,0)))))</f>
        <v>0</v>
      </c>
      <c r="E60" s="105">
        <f>IF(E61&lt;18,0,IF(E46=30,0,IF((E75+E76+H78)&gt;0,0,IF(E96=0,30,IF(E96&gt;0,0)))))</f>
        <v>0</v>
      </c>
      <c r="F60" s="105">
        <f>IF(F61&lt;18,0,IF(F46=30,0,IF((F75+F76+H78)&gt;0,0,IF(F96=0,30,IF(F96&gt;0,0)))))</f>
        <v>0</v>
      </c>
      <c r="G60" s="105">
        <f>IF(G61&lt;18,0,IF(G46=30,0,IF((G75+G76+H78)&gt;0,0,IF(G96=0,30,IF(G96&gt;0,0)))))</f>
        <v>0</v>
      </c>
      <c r="H60" s="105">
        <f>IF(H61&lt;18,0,IF(H46=30,0,IF((H75+H76+H78)&gt;0,0,IF(H96=0,30,IF(H96&gt;0,0)))))</f>
        <v>0</v>
      </c>
      <c r="I60" s="2"/>
      <c r="J60" s="2"/>
    </row>
    <row r="61" spans="1:10" x14ac:dyDescent="0.2">
      <c r="A61" s="2"/>
      <c r="B61" s="2"/>
      <c r="C61" s="84">
        <f>IF(BG!$C$21=ISBLANK(0),0,IF(INT((C37-BG!$C$21)/365.25)&lt;0,0,INT((C37-BG!$C$21)/365.25)))</f>
        <v>0</v>
      </c>
      <c r="D61" s="84">
        <f>IF(BG!$C$21=ISBLANK(0),0,IF(INT((D37-BG!$C$21)/365.25)&lt;0,0,INT((D37-BG!$C$21)/365.25)))</f>
        <v>0</v>
      </c>
      <c r="E61" s="84">
        <f>IF(BG!$C$21=ISBLANK(0),0,IF(INT((E37-BG!$C$21)/365.25)&lt;0,0,INT((E37-BG!$C$21)/365.25)))</f>
        <v>0</v>
      </c>
      <c r="F61" s="84">
        <f>IF(BG!$C$21=ISBLANK(0),0,IF(INT((F37-BG!$C$21)/365.25)&lt;0,0,INT((F37-BG!$C$21)/365.25)))</f>
        <v>0</v>
      </c>
      <c r="G61" s="84">
        <f>IF(BG!$C$21=ISBLANK(0),0,IF(INT((G37-BG!$C$21)/365.25)&lt;0,0,INT((G37-BG!$C$21)/365.25)))</f>
        <v>0</v>
      </c>
      <c r="H61" s="84">
        <f>IF(BG!$C$21=ISBLANK(0),0,IF(INT((H37-BG!$C$21)/365.25)&lt;0,0,INT((H37-BG!$C$21)/365.25)))</f>
        <v>0</v>
      </c>
      <c r="I61" s="2"/>
      <c r="J61" s="2"/>
    </row>
    <row r="62" spans="1:10" x14ac:dyDescent="0.2">
      <c r="A62" s="60"/>
      <c r="B62" s="191" t="s">
        <v>77</v>
      </c>
      <c r="C62" s="97">
        <f t="shared" ref="C62:H62" si="10">C7+C12+C17+C23+C28+C51+C54+C55</f>
        <v>0</v>
      </c>
      <c r="D62" s="97">
        <f t="shared" si="10"/>
        <v>0</v>
      </c>
      <c r="E62" s="97">
        <f t="shared" si="10"/>
        <v>0</v>
      </c>
      <c r="F62" s="97">
        <f t="shared" si="10"/>
        <v>0</v>
      </c>
      <c r="G62" s="97">
        <f t="shared" si="10"/>
        <v>0</v>
      </c>
      <c r="H62" s="97">
        <f t="shared" si="10"/>
        <v>0</v>
      </c>
      <c r="I62" s="644" t="s">
        <v>48</v>
      </c>
      <c r="J62" s="2"/>
    </row>
    <row r="63" spans="1:10" x14ac:dyDescent="0.2">
      <c r="A63" s="103"/>
      <c r="B63" s="197" t="s">
        <v>78</v>
      </c>
      <c r="C63" s="106">
        <f t="shared" ref="C63:H63" si="11">SUM(C57:C60)</f>
        <v>0</v>
      </c>
      <c r="D63" s="106">
        <f t="shared" si="11"/>
        <v>0</v>
      </c>
      <c r="E63" s="106">
        <f t="shared" si="11"/>
        <v>0</v>
      </c>
      <c r="F63" s="106">
        <f t="shared" si="11"/>
        <v>0</v>
      </c>
      <c r="G63" s="106">
        <f t="shared" si="11"/>
        <v>0</v>
      </c>
      <c r="H63" s="106">
        <f t="shared" si="11"/>
        <v>0</v>
      </c>
      <c r="I63" s="107"/>
      <c r="J63" s="2"/>
    </row>
    <row r="64" spans="1:10" x14ac:dyDescent="0.2">
      <c r="A64" s="104"/>
      <c r="B64" s="192" t="s">
        <v>79</v>
      </c>
      <c r="C64" s="82">
        <f t="shared" ref="C64:H64" si="12">IF((C62-C63)&lt;0,0,(C62-C63))</f>
        <v>0</v>
      </c>
      <c r="D64" s="82">
        <f t="shared" si="12"/>
        <v>0</v>
      </c>
      <c r="E64" s="82">
        <f t="shared" si="12"/>
        <v>0</v>
      </c>
      <c r="F64" s="82">
        <f t="shared" si="12"/>
        <v>0</v>
      </c>
      <c r="G64" s="82">
        <f t="shared" si="12"/>
        <v>0</v>
      </c>
      <c r="H64" s="82">
        <f t="shared" si="12"/>
        <v>0</v>
      </c>
      <c r="I64" s="94">
        <f>SUM(C64:H64)</f>
        <v>0</v>
      </c>
      <c r="J64" s="2"/>
    </row>
    <row r="65" spans="1:10" x14ac:dyDescent="0.2">
      <c r="A65" s="2"/>
      <c r="B65" s="2"/>
      <c r="C65" s="2"/>
      <c r="D65" s="2"/>
      <c r="E65" s="2"/>
      <c r="F65" s="2"/>
      <c r="G65" s="2"/>
      <c r="H65" s="2"/>
      <c r="I65" s="2"/>
      <c r="J65" s="2"/>
    </row>
    <row r="66" spans="1:10" x14ac:dyDescent="0.2">
      <c r="A66" s="2"/>
      <c r="B66" s="2"/>
      <c r="C66" s="2"/>
      <c r="D66" s="2"/>
      <c r="E66" s="2"/>
      <c r="F66" s="2"/>
      <c r="G66" s="2"/>
      <c r="H66" s="2"/>
      <c r="I66" s="2"/>
      <c r="J66" s="2"/>
    </row>
    <row r="67" spans="1:10" x14ac:dyDescent="0.2">
      <c r="A67" s="2"/>
      <c r="B67" s="2"/>
      <c r="C67" s="2"/>
      <c r="D67" s="2"/>
      <c r="E67" s="2"/>
      <c r="F67" s="2"/>
      <c r="G67" s="2"/>
      <c r="H67" s="2"/>
      <c r="I67" s="2"/>
      <c r="J67" s="2"/>
    </row>
    <row r="68" spans="1:10" x14ac:dyDescent="0.2">
      <c r="A68" s="2"/>
      <c r="B68" s="2"/>
      <c r="C68" s="2"/>
      <c r="D68" s="2"/>
      <c r="E68" s="2"/>
      <c r="F68" s="2"/>
      <c r="G68" s="2"/>
      <c r="H68" s="2"/>
      <c r="I68" s="2"/>
      <c r="J68" s="2"/>
    </row>
    <row r="69" spans="1:10" x14ac:dyDescent="0.2">
      <c r="A69" s="2"/>
      <c r="B69" s="2"/>
      <c r="C69" s="2"/>
      <c r="D69" s="2"/>
      <c r="E69" s="2"/>
      <c r="F69" s="2"/>
      <c r="G69" s="2"/>
      <c r="H69" s="2"/>
      <c r="I69" s="2"/>
      <c r="J69" s="2"/>
    </row>
    <row r="70" spans="1:10" x14ac:dyDescent="0.2">
      <c r="A70" s="2"/>
      <c r="B70" s="2"/>
      <c r="C70" s="2"/>
      <c r="D70" s="2"/>
      <c r="E70" s="2"/>
      <c r="F70" s="2"/>
      <c r="G70" s="2"/>
      <c r="H70" s="2"/>
      <c r="I70" s="2"/>
      <c r="J70" s="2"/>
    </row>
    <row r="71" spans="1:10" x14ac:dyDescent="0.2">
      <c r="A71" s="2"/>
      <c r="B71" s="2"/>
      <c r="C71" s="2"/>
      <c r="D71" s="2"/>
      <c r="E71" s="2"/>
      <c r="F71" s="2"/>
      <c r="G71" s="2"/>
      <c r="H71" s="2"/>
      <c r="I71" s="2"/>
      <c r="J71" s="2"/>
    </row>
    <row r="72" spans="1:10" ht="15" x14ac:dyDescent="0.25">
      <c r="A72" s="65"/>
      <c r="B72" s="85"/>
      <c r="C72" s="952" t="s">
        <v>46</v>
      </c>
      <c r="D72" s="952"/>
      <c r="E72" s="952"/>
      <c r="F72" s="952"/>
      <c r="G72" s="952"/>
      <c r="H72" s="952"/>
      <c r="I72" s="85"/>
      <c r="J72" s="85"/>
    </row>
    <row r="73" spans="1:10" ht="15" x14ac:dyDescent="0.25">
      <c r="A73" s="990" t="s">
        <v>29</v>
      </c>
      <c r="B73" s="990"/>
      <c r="C73" s="66" t="e">
        <f>EDATE(BG!D2,-6)</f>
        <v>#NUM!</v>
      </c>
      <c r="D73" s="66" t="e">
        <f>EDATE(BG!D2,-5)</f>
        <v>#NUM!</v>
      </c>
      <c r="E73" s="66" t="e">
        <f>EDATE(BG!D2,-4)</f>
        <v>#NUM!</v>
      </c>
      <c r="F73" s="66" t="e">
        <f>EDATE(BG!D2,-3)</f>
        <v>#NUM!</v>
      </c>
      <c r="G73" s="66" t="e">
        <f>EDATE(BG!D2,-2)</f>
        <v>#NUM!</v>
      </c>
      <c r="H73" s="66" t="e">
        <f>EDATE(BG!D2,-1)</f>
        <v>#NUM!</v>
      </c>
      <c r="I73" s="382"/>
      <c r="J73" s="383"/>
    </row>
    <row r="74" spans="1:10" x14ac:dyDescent="0.2">
      <c r="A74" s="996" t="s">
        <v>596</v>
      </c>
      <c r="B74" s="997"/>
      <c r="C74" s="116" t="s">
        <v>185</v>
      </c>
      <c r="D74" s="116" t="s">
        <v>185</v>
      </c>
      <c r="E74" s="116" t="s">
        <v>185</v>
      </c>
      <c r="F74" s="116" t="s">
        <v>185</v>
      </c>
      <c r="G74" s="116" t="s">
        <v>185</v>
      </c>
      <c r="H74" s="116" t="s">
        <v>185</v>
      </c>
      <c r="I74" s="384"/>
      <c r="J74" s="185" t="str">
        <f>IF(SUM(C77:H77)&gt;0,"bitte hier"," ")</f>
        <v xml:space="preserve"> </v>
      </c>
    </row>
    <row r="75" spans="1:10" x14ac:dyDescent="0.2">
      <c r="A75" s="991" t="s">
        <v>47</v>
      </c>
      <c r="B75" s="991"/>
      <c r="C75" s="385"/>
      <c r="D75" s="385"/>
      <c r="E75" s="385"/>
      <c r="F75" s="385"/>
      <c r="G75" s="385"/>
      <c r="H75" s="385"/>
      <c r="I75" s="172"/>
      <c r="J75" s="183" t="str">
        <f>IF(SUM(C77:H77)&gt;0,"eintragen"," ")</f>
        <v xml:space="preserve"> </v>
      </c>
    </row>
    <row r="76" spans="1:10" x14ac:dyDescent="0.2">
      <c r="A76" s="992" t="s">
        <v>38</v>
      </c>
      <c r="B76" s="992"/>
      <c r="C76" s="386"/>
      <c r="D76" s="386"/>
      <c r="E76" s="386"/>
      <c r="F76" s="386"/>
      <c r="G76" s="386"/>
      <c r="H76" s="386"/>
      <c r="I76" s="387" t="str">
        <f>IF(SUM(C77:H77)&gt;0,"Beginn d."," ")</f>
        <v xml:space="preserve"> </v>
      </c>
      <c r="J76" s="993"/>
    </row>
    <row r="77" spans="1:10" x14ac:dyDescent="0.2">
      <c r="A77" s="995" t="s">
        <v>242</v>
      </c>
      <c r="B77" s="995"/>
      <c r="C77" s="388"/>
      <c r="D77" s="388"/>
      <c r="E77" s="388"/>
      <c r="F77" s="388"/>
      <c r="G77" s="388"/>
      <c r="H77" s="388"/>
      <c r="I77" s="389" t="str">
        <f>IF(SUM(C77:H77)&gt;0,"Selbständigkeit:"," ")</f>
        <v xml:space="preserve"> </v>
      </c>
      <c r="J77" s="994"/>
    </row>
    <row r="78" spans="1:10" x14ac:dyDescent="0.2">
      <c r="A78" s="85"/>
      <c r="B78" s="85"/>
      <c r="C78" s="291"/>
      <c r="D78" s="390"/>
      <c r="E78" s="142" t="s">
        <v>48</v>
      </c>
      <c r="F78" s="83">
        <f>SUM(C77:H77)</f>
        <v>0</v>
      </c>
      <c r="G78" s="81" t="s">
        <v>49</v>
      </c>
      <c r="H78" s="83" t="e">
        <f>ROUND((F78/J81),2)</f>
        <v>#NUM!</v>
      </c>
      <c r="I78" s="391" t="str">
        <f>IF(SUM(C77:H77)&gt;0,"Ende d."," ")</f>
        <v xml:space="preserve"> </v>
      </c>
      <c r="J78" s="970"/>
    </row>
    <row r="79" spans="1:10" x14ac:dyDescent="0.2">
      <c r="A79" s="972" t="s">
        <v>50</v>
      </c>
      <c r="B79" s="973"/>
      <c r="C79" s="392"/>
      <c r="D79" s="392"/>
      <c r="E79" s="392"/>
      <c r="F79" s="392"/>
      <c r="G79" s="392"/>
      <c r="H79" s="392"/>
      <c r="I79" s="389" t="str">
        <f>IF(SUM(C77:H77)&gt;0,"Selbständigkeit:"," ")</f>
        <v xml:space="preserve"> </v>
      </c>
      <c r="J79" s="971"/>
    </row>
    <row r="80" spans="1:10" x14ac:dyDescent="0.2">
      <c r="A80" s="976" t="s">
        <v>51</v>
      </c>
      <c r="B80" s="977"/>
      <c r="C80" s="393"/>
      <c r="D80" s="393"/>
      <c r="E80" s="393"/>
      <c r="F80" s="393"/>
      <c r="G80" s="393"/>
      <c r="H80" s="393"/>
      <c r="I80" s="978" t="str">
        <f>IF(SUM(C77:H77)&gt;0,"Format: Monat Jahr"," ")</f>
        <v xml:space="preserve"> </v>
      </c>
      <c r="J80" s="979"/>
    </row>
    <row r="81" spans="1:10" x14ac:dyDescent="0.2">
      <c r="A81" s="980" t="s">
        <v>52</v>
      </c>
      <c r="B81" s="980"/>
      <c r="C81" s="394"/>
      <c r="D81" s="394"/>
      <c r="E81" s="394"/>
      <c r="F81" s="394"/>
      <c r="G81" s="394"/>
      <c r="H81" s="394"/>
      <c r="I81" s="198" t="e">
        <f>IF(J76&lt;MEG!C6,6,DATEDIF(J76,MEG!E6,"m")+1)</f>
        <v>#NUM!</v>
      </c>
      <c r="J81" s="199" t="e">
        <f>IF(J78=ISBLANK(0),I81,IF(J76=ISBLANK(0),I82,DATEDIF(I84,J84,"m")+1))</f>
        <v>#NUM!</v>
      </c>
    </row>
    <row r="82" spans="1:10" x14ac:dyDescent="0.2">
      <c r="A82" s="981" t="s">
        <v>54</v>
      </c>
      <c r="B82" s="981"/>
      <c r="C82" s="395"/>
      <c r="D82" s="395"/>
      <c r="E82" s="395"/>
      <c r="F82" s="395"/>
      <c r="G82" s="395"/>
      <c r="H82" s="395"/>
      <c r="I82" s="198" t="e">
        <f>IF(J78&lt;MEG!C6,6,DATEDIF(MEG!C6,J78,"m")+1)</f>
        <v>#NUM!</v>
      </c>
      <c r="J82" s="199"/>
    </row>
    <row r="83" spans="1:10" x14ac:dyDescent="0.2">
      <c r="A83" s="982"/>
      <c r="B83" s="982"/>
      <c r="C83" s="126" t="s">
        <v>48</v>
      </c>
      <c r="D83" s="83">
        <f>SUM(C81:H82)</f>
        <v>0</v>
      </c>
      <c r="E83" s="81" t="s">
        <v>49</v>
      </c>
      <c r="F83" s="83" t="e">
        <f>ROUND((D83/J81),2)</f>
        <v>#NUM!</v>
      </c>
      <c r="G83" s="90" t="s">
        <v>53</v>
      </c>
      <c r="H83" s="91" t="e">
        <f>IF((H78-F83)&lt;0,0,(H78-F83))</f>
        <v>#NUM!</v>
      </c>
      <c r="I83" s="81"/>
      <c r="J83" s="81"/>
    </row>
    <row r="84" spans="1:10" x14ac:dyDescent="0.2">
      <c r="A84" s="85"/>
      <c r="B84" s="383"/>
      <c r="C84" s="396"/>
      <c r="D84" s="396"/>
      <c r="E84" s="396"/>
      <c r="F84" s="396"/>
      <c r="G84" s="396"/>
      <c r="H84" s="88"/>
      <c r="I84" s="179" t="e">
        <f>IF(J76&lt;MEG!C6,MEG!C6,J76)</f>
        <v>#NUM!</v>
      </c>
      <c r="J84" s="179" t="e">
        <f>IF(J78&gt;MEG!E6,MEG!E6,J78)</f>
        <v>#NUM!</v>
      </c>
    </row>
    <row r="85" spans="1:10" x14ac:dyDescent="0.2">
      <c r="A85" s="980" t="s">
        <v>54</v>
      </c>
      <c r="B85" s="980"/>
      <c r="C85" s="397">
        <f t="shared" ref="C85:H85" si="13">SUM(C88,(C86*ROUND(C87,0)*0.2))</f>
        <v>0</v>
      </c>
      <c r="D85" s="397">
        <f t="shared" si="13"/>
        <v>0</v>
      </c>
      <c r="E85" s="397">
        <f t="shared" si="13"/>
        <v>0</v>
      </c>
      <c r="F85" s="397">
        <f t="shared" si="13"/>
        <v>0</v>
      </c>
      <c r="G85" s="397">
        <f t="shared" si="13"/>
        <v>0</v>
      </c>
      <c r="H85" s="397">
        <f t="shared" si="13"/>
        <v>0</v>
      </c>
      <c r="I85" s="203" t="e">
        <f>I84</f>
        <v>#NUM!</v>
      </c>
      <c r="J85" s="179" t="e">
        <f>IF(J78=ISBLANK(0),H73+1,J78)</f>
        <v>#NUM!</v>
      </c>
    </row>
    <row r="86" spans="1:10" x14ac:dyDescent="0.2">
      <c r="A86" s="983" t="s">
        <v>234</v>
      </c>
      <c r="B86" s="984"/>
      <c r="C86" s="398"/>
      <c r="D86" s="398"/>
      <c r="E86" s="398"/>
      <c r="F86" s="398"/>
      <c r="G86" s="398"/>
      <c r="H86" s="398"/>
      <c r="I86" s="202" t="e">
        <f>IF(I84&gt;C73,0,IF(J85&lt;C73,0,H83))</f>
        <v>#NUM!</v>
      </c>
      <c r="J86" s="81"/>
    </row>
    <row r="87" spans="1:10" x14ac:dyDescent="0.2">
      <c r="A87" s="983" t="s">
        <v>235</v>
      </c>
      <c r="B87" s="984"/>
      <c r="C87" s="398"/>
      <c r="D87" s="398"/>
      <c r="E87" s="398"/>
      <c r="F87" s="398"/>
      <c r="G87" s="398"/>
      <c r="H87" s="398"/>
      <c r="I87" s="202" t="e">
        <f>IF(I84&gt;D73,0,IF(J85&lt;D73,0,H83))</f>
        <v>#NUM!</v>
      </c>
      <c r="J87" s="81"/>
    </row>
    <row r="88" spans="1:10" x14ac:dyDescent="0.2">
      <c r="A88" s="985" t="s">
        <v>237</v>
      </c>
      <c r="B88" s="986"/>
      <c r="C88" s="395"/>
      <c r="D88" s="395"/>
      <c r="E88" s="395"/>
      <c r="F88" s="395"/>
      <c r="G88" s="395"/>
      <c r="H88" s="395"/>
      <c r="I88" s="202" t="e">
        <f>IF(I84&gt;E73,0,IF(J85&lt;E73,0,H83))</f>
        <v>#NUM!</v>
      </c>
      <c r="J88" s="81"/>
    </row>
    <row r="89" spans="1:10" x14ac:dyDescent="0.2">
      <c r="A89" s="987" t="s">
        <v>55</v>
      </c>
      <c r="B89" s="987"/>
      <c r="C89" s="399">
        <f t="shared" ref="C89:H89" si="14">C90*C91</f>
        <v>0</v>
      </c>
      <c r="D89" s="399">
        <f t="shared" si="14"/>
        <v>0</v>
      </c>
      <c r="E89" s="399">
        <f t="shared" si="14"/>
        <v>0</v>
      </c>
      <c r="F89" s="399">
        <f t="shared" si="14"/>
        <v>0</v>
      </c>
      <c r="G89" s="399">
        <f t="shared" si="14"/>
        <v>0</v>
      </c>
      <c r="H89" s="399">
        <f t="shared" si="14"/>
        <v>0</v>
      </c>
      <c r="I89" s="202" t="e">
        <f>IF(I84&gt;F73,0,IF(J85&lt;F73,0,H83))</f>
        <v>#NUM!</v>
      </c>
      <c r="J89" s="83"/>
    </row>
    <row r="90" spans="1:10" x14ac:dyDescent="0.2">
      <c r="A90" s="988" t="s">
        <v>238</v>
      </c>
      <c r="B90" s="989"/>
      <c r="C90" s="398"/>
      <c r="D90" s="398"/>
      <c r="E90" s="398"/>
      <c r="F90" s="398"/>
      <c r="G90" s="398"/>
      <c r="H90" s="398"/>
      <c r="I90" s="202" t="e">
        <f>IF(I84&gt;G73,0,IF(J85&lt;G73,0,H83))</f>
        <v>#NUM!</v>
      </c>
      <c r="J90" s="81"/>
    </row>
    <row r="91" spans="1:10" x14ac:dyDescent="0.2">
      <c r="A91" s="974" t="s">
        <v>239</v>
      </c>
      <c r="B91" s="975"/>
      <c r="C91" s="400"/>
      <c r="D91" s="400"/>
      <c r="E91" s="400"/>
      <c r="F91" s="400"/>
      <c r="G91" s="400"/>
      <c r="H91" s="400"/>
      <c r="I91" s="202" t="e">
        <f>IF(I84&gt;H73,0,IF(J85&lt;H73,0,H83))</f>
        <v>#NUM!</v>
      </c>
      <c r="J91" s="81"/>
    </row>
    <row r="92" spans="1:10" x14ac:dyDescent="0.2">
      <c r="A92" s="964" t="s">
        <v>236</v>
      </c>
      <c r="B92" s="965"/>
      <c r="C92" s="401"/>
      <c r="D92" s="401"/>
      <c r="E92" s="401"/>
      <c r="F92" s="401"/>
      <c r="G92" s="401"/>
      <c r="H92" s="401"/>
      <c r="I92" s="172"/>
      <c r="J92" s="95"/>
    </row>
    <row r="93" spans="1:10" x14ac:dyDescent="0.2">
      <c r="A93" s="966" t="s">
        <v>56</v>
      </c>
      <c r="B93" s="966"/>
      <c r="C93" s="401"/>
      <c r="D93" s="401"/>
      <c r="E93" s="401"/>
      <c r="F93" s="401"/>
      <c r="G93" s="401"/>
      <c r="H93" s="401"/>
      <c r="I93" s="172"/>
      <c r="J93" s="95"/>
    </row>
    <row r="94" spans="1:10" x14ac:dyDescent="0.2">
      <c r="A94" s="966" t="s">
        <v>57</v>
      </c>
      <c r="B94" s="966"/>
      <c r="C94" s="401"/>
      <c r="D94" s="401"/>
      <c r="E94" s="401"/>
      <c r="F94" s="401"/>
      <c r="G94" s="401"/>
      <c r="H94" s="401"/>
      <c r="I94" s="172"/>
      <c r="J94" s="95"/>
    </row>
    <row r="95" spans="1:10" x14ac:dyDescent="0.2">
      <c r="A95" s="966" t="s">
        <v>58</v>
      </c>
      <c r="B95" s="966"/>
      <c r="C95" s="402"/>
      <c r="D95" s="402"/>
      <c r="E95" s="402"/>
      <c r="F95" s="402"/>
      <c r="G95" s="402"/>
      <c r="H95" s="402"/>
      <c r="I95" s="172"/>
      <c r="J95" s="95"/>
    </row>
    <row r="96" spans="1:10" x14ac:dyDescent="0.2">
      <c r="A96" s="85"/>
      <c r="B96" s="85"/>
      <c r="C96" s="93" t="e">
        <f>C75+I86</f>
        <v>#NUM!</v>
      </c>
      <c r="D96" s="93" t="e">
        <f>D75+I87</f>
        <v>#NUM!</v>
      </c>
      <c r="E96" s="93" t="e">
        <f>E75+I88</f>
        <v>#NUM!</v>
      </c>
      <c r="F96" s="93" t="e">
        <f>F75+I89</f>
        <v>#NUM!</v>
      </c>
      <c r="G96" s="93" t="e">
        <f>G75+I90</f>
        <v>#NUM!</v>
      </c>
      <c r="H96" s="93" t="e">
        <f>H75+I91</f>
        <v>#NUM!</v>
      </c>
      <c r="I96" s="85"/>
      <c r="J96" s="85"/>
    </row>
    <row r="97" spans="1:10" x14ac:dyDescent="0.2">
      <c r="A97" s="966" t="s">
        <v>59</v>
      </c>
      <c r="B97" s="966"/>
      <c r="C97" s="94" t="e">
        <f>IF(C74="ja",Grundfreibeträge!G4,Grundfreibeträge!F4)</f>
        <v>#NUM!</v>
      </c>
      <c r="D97" s="94" t="e">
        <f>IF(D74="ja",Grundfreibeträge!G5,Grundfreibeträge!F5)</f>
        <v>#NUM!</v>
      </c>
      <c r="E97" s="94" t="e">
        <f>IF(E74="ja",Grundfreibeträge!G6,Grundfreibeträge!F6)</f>
        <v>#NUM!</v>
      </c>
      <c r="F97" s="94" t="e">
        <f>IF(F74="ja",Grundfreibeträge!G7,Grundfreibeträge!F7)</f>
        <v>#NUM!</v>
      </c>
      <c r="G97" s="94" t="e">
        <f>IF(G74="ja",Grundfreibeträge!G8,Grundfreibeträge!F8)</f>
        <v>#NUM!</v>
      </c>
      <c r="H97" s="94" t="e">
        <f>IF(H74="ja",Grundfreibeträge!G9,Grundfreibeträge!F9)</f>
        <v>#NUM!</v>
      </c>
      <c r="I97" s="85"/>
      <c r="J97" s="85"/>
    </row>
    <row r="98" spans="1:10" x14ac:dyDescent="0.2">
      <c r="A98" s="964" t="s">
        <v>597</v>
      </c>
      <c r="B98" s="965"/>
      <c r="C98" s="94" t="e">
        <f>MAX((MIN(C96,520)-C97)*0.2,0)</f>
        <v>#NUM!</v>
      </c>
      <c r="D98" s="94" t="e">
        <f t="shared" ref="D98:H98" si="15">MAX((MIN(D96,520)-D97)*0.2,0)</f>
        <v>#NUM!</v>
      </c>
      <c r="E98" s="94" t="e">
        <f t="shared" si="15"/>
        <v>#NUM!</v>
      </c>
      <c r="F98" s="94" t="e">
        <f t="shared" si="15"/>
        <v>#NUM!</v>
      </c>
      <c r="G98" s="94" t="e">
        <f t="shared" si="15"/>
        <v>#NUM!</v>
      </c>
      <c r="H98" s="94" t="e">
        <f t="shared" si="15"/>
        <v>#NUM!</v>
      </c>
      <c r="I98" s="85"/>
      <c r="J98" s="85"/>
    </row>
    <row r="99" spans="1:10" x14ac:dyDescent="0.2">
      <c r="A99" s="966" t="s">
        <v>60</v>
      </c>
      <c r="B99" s="966"/>
      <c r="C99" s="94" t="e">
        <f>MAX(MIN(C96-520,480)*0.3,0)</f>
        <v>#NUM!</v>
      </c>
      <c r="D99" s="94" t="e">
        <f t="shared" ref="D99:H99" si="16">MAX(MIN(D96-520,480)*0.3,0)</f>
        <v>#NUM!</v>
      </c>
      <c r="E99" s="94" t="e">
        <f t="shared" si="16"/>
        <v>#NUM!</v>
      </c>
      <c r="F99" s="94" t="e">
        <f t="shared" si="16"/>
        <v>#NUM!</v>
      </c>
      <c r="G99" s="94" t="e">
        <f t="shared" si="16"/>
        <v>#NUM!</v>
      </c>
      <c r="H99" s="94" t="e">
        <f t="shared" si="16"/>
        <v>#NUM!</v>
      </c>
      <c r="I99" s="85"/>
      <c r="J99" s="85"/>
    </row>
    <row r="100" spans="1:10" x14ac:dyDescent="0.2">
      <c r="A100" s="966" t="s">
        <v>61</v>
      </c>
      <c r="B100" s="966"/>
      <c r="C100" s="94" t="e">
        <f>IF(Grundfreibeträge!Q6="Kind ü18",Grundfreibeträge!H4,IF(C96&lt;1000,0,IF(C96&gt;=1500,50,ROUND((C96-1000)*10%,2))))</f>
        <v>#NUM!</v>
      </c>
      <c r="D100" s="94" t="e">
        <f>IF(Grundfreibeträge!Q6="Kind ü18",Grundfreibeträge!H5,IF(D96&lt;1000,0,IF(D96&gt;=1500,50,ROUND((D96-1000)*10%,2))))</f>
        <v>#NUM!</v>
      </c>
      <c r="E100" s="94" t="e">
        <f>IF(Grundfreibeträge!Q6="Kind ü18",Grundfreibeträge!H6,IF(E96&lt;1000,0,IF(E96&gt;=1500,50,ROUND((E96-1000)*10%,2))))</f>
        <v>#NUM!</v>
      </c>
      <c r="F100" s="94" t="e">
        <f>IF(Grundfreibeträge!Q6="Kind ü18",Grundfreibeträge!H7,IF(F96&lt;1000,0,IF(F96&gt;=1500,50,ROUND((F96-1000)*10%,2))))</f>
        <v>#NUM!</v>
      </c>
      <c r="G100" s="94" t="e">
        <f>IF(Grundfreibeträge!Q6="Kind ü18",Grundfreibeträge!H8,IF(G96&lt;1000,0,IF(G96&gt;=1500,50,ROUND((G96-1000)*10%,2))))</f>
        <v>#NUM!</v>
      </c>
      <c r="H100" s="94" t="e">
        <f>IF(Grundfreibeträge!Q6="Kind ü18",Grundfreibeträge!H9,IF(H96&lt;1000,0,IF(H96&gt;=1500,50,ROUND((H96-1000)*10%,2))))</f>
        <v>#NUM!</v>
      </c>
      <c r="I100" s="645" t="s">
        <v>48</v>
      </c>
      <c r="J100" s="85"/>
    </row>
    <row r="101" spans="1:10" x14ac:dyDescent="0.2">
      <c r="A101" s="966" t="s">
        <v>62</v>
      </c>
      <c r="B101" s="966"/>
      <c r="C101" s="94" t="e">
        <f>IF(C96=0,0,MAX(C96-C79-C97-C98-C99-C100,0))</f>
        <v>#NUM!</v>
      </c>
      <c r="D101" s="94" t="e">
        <f t="shared" ref="D101:H101" si="17">IF(D96=0,0,MAX(D96-D79-D97-D98-D99-D100,0))</f>
        <v>#NUM!</v>
      </c>
      <c r="E101" s="94" t="e">
        <f t="shared" si="17"/>
        <v>#NUM!</v>
      </c>
      <c r="F101" s="94" t="e">
        <f t="shared" si="17"/>
        <v>#NUM!</v>
      </c>
      <c r="G101" s="94" t="e">
        <f t="shared" si="17"/>
        <v>#NUM!</v>
      </c>
      <c r="H101" s="94" t="e">
        <f t="shared" si="17"/>
        <v>#NUM!</v>
      </c>
      <c r="I101" s="94" t="e">
        <f>SUM(C101:H101)</f>
        <v>#NUM!</v>
      </c>
      <c r="J101" s="85"/>
    </row>
    <row r="102" spans="1:10" x14ac:dyDescent="0.2">
      <c r="A102" s="85"/>
      <c r="B102" s="86"/>
      <c r="C102" s="83" t="e">
        <f>C75+C76+I86</f>
        <v>#NUM!</v>
      </c>
      <c r="D102" s="83" t="e">
        <f>D75+D76+I87</f>
        <v>#NUM!</v>
      </c>
      <c r="E102" s="83" t="e">
        <f>E75+E76+I88</f>
        <v>#NUM!</v>
      </c>
      <c r="F102" s="83" t="e">
        <f>F75+F76+I89</f>
        <v>#NUM!</v>
      </c>
      <c r="G102" s="83" t="e">
        <f>G75+G76+I90</f>
        <v>#NUM!</v>
      </c>
      <c r="H102" s="83" t="e">
        <f>H75+H76+I91</f>
        <v>#NUM!</v>
      </c>
      <c r="I102" s="95"/>
      <c r="J102" s="85"/>
    </row>
    <row r="103" spans="1:10" ht="15" x14ac:dyDescent="0.25">
      <c r="A103" s="85"/>
      <c r="B103" s="85"/>
      <c r="C103" s="83" t="e">
        <f t="shared" ref="C103:H103" si="18">IF(C102=0,0,IF(C102&lt;=100,0,IF(C102&lt;=1000,(C102-100)*20%,IF(C102&gt;1000,180))))</f>
        <v>#NUM!</v>
      </c>
      <c r="D103" s="83" t="e">
        <f t="shared" si="18"/>
        <v>#NUM!</v>
      </c>
      <c r="E103" s="83" t="e">
        <f t="shared" si="18"/>
        <v>#NUM!</v>
      </c>
      <c r="F103" s="83" t="e">
        <f t="shared" si="18"/>
        <v>#NUM!</v>
      </c>
      <c r="G103" s="83" t="e">
        <f t="shared" si="18"/>
        <v>#NUM!</v>
      </c>
      <c r="H103" s="83" t="e">
        <f t="shared" si="18"/>
        <v>#NUM!</v>
      </c>
      <c r="I103" s="96"/>
      <c r="J103" s="85"/>
    </row>
    <row r="104" spans="1:10" ht="15" x14ac:dyDescent="0.25">
      <c r="A104" s="967" t="s">
        <v>63</v>
      </c>
      <c r="B104" s="967"/>
      <c r="C104" s="97" t="e">
        <f t="shared" ref="C104:H104" si="19">IF(C102&lt;1000,0,IF(C102&gt;=1500,50,ROUND((C102-1000)*10%,2)))</f>
        <v>#NUM!</v>
      </c>
      <c r="D104" s="97" t="e">
        <f t="shared" si="19"/>
        <v>#NUM!</v>
      </c>
      <c r="E104" s="97" t="e">
        <f t="shared" si="19"/>
        <v>#NUM!</v>
      </c>
      <c r="F104" s="97" t="e">
        <f t="shared" si="19"/>
        <v>#NUM!</v>
      </c>
      <c r="G104" s="97" t="e">
        <f t="shared" si="19"/>
        <v>#NUM!</v>
      </c>
      <c r="H104" s="97" t="e">
        <f t="shared" si="19"/>
        <v>#NUM!</v>
      </c>
      <c r="I104" s="96"/>
      <c r="J104" s="85"/>
    </row>
    <row r="105" spans="1:10" x14ac:dyDescent="0.2">
      <c r="A105" s="968" t="s">
        <v>64</v>
      </c>
      <c r="B105" s="968"/>
      <c r="C105" s="98">
        <f t="shared" ref="C105:H105" si="20">IF(C76=0,0,(C103+C104)-(C99+C100))</f>
        <v>0</v>
      </c>
      <c r="D105" s="98">
        <f t="shared" si="20"/>
        <v>0</v>
      </c>
      <c r="E105" s="98">
        <f t="shared" si="20"/>
        <v>0</v>
      </c>
      <c r="F105" s="98">
        <f t="shared" si="20"/>
        <v>0</v>
      </c>
      <c r="G105" s="98">
        <f t="shared" si="20"/>
        <v>0</v>
      </c>
      <c r="H105" s="98">
        <f t="shared" si="20"/>
        <v>0</v>
      </c>
      <c r="I105" s="650" t="s">
        <v>48</v>
      </c>
      <c r="J105" s="85"/>
    </row>
    <row r="106" spans="1:10" x14ac:dyDescent="0.2">
      <c r="A106" s="969" t="s">
        <v>65</v>
      </c>
      <c r="B106" s="969"/>
      <c r="C106" s="94">
        <f t="shared" ref="C106:H106" si="21">IF(C76=0,0,IF(AND(C76&gt;0,C96&gt;0),C76-C80-C105,IF(C76-C80-C105-C97&lt;0,0,C76-C80-C105-C97)))</f>
        <v>0</v>
      </c>
      <c r="D106" s="94">
        <f t="shared" si="21"/>
        <v>0</v>
      </c>
      <c r="E106" s="94">
        <f t="shared" si="21"/>
        <v>0</v>
      </c>
      <c r="F106" s="94">
        <f t="shared" si="21"/>
        <v>0</v>
      </c>
      <c r="G106" s="94">
        <f t="shared" si="21"/>
        <v>0</v>
      </c>
      <c r="H106" s="94">
        <f t="shared" si="21"/>
        <v>0</v>
      </c>
      <c r="I106" s="94">
        <f>SUM(C106:H106)</f>
        <v>0</v>
      </c>
      <c r="J106" s="85"/>
    </row>
    <row r="107" spans="1:10" x14ac:dyDescent="0.2">
      <c r="A107" s="85"/>
      <c r="B107" s="85"/>
      <c r="C107" s="85"/>
      <c r="D107" s="85"/>
      <c r="E107" s="85"/>
      <c r="F107" s="85"/>
      <c r="G107" s="85"/>
      <c r="H107" s="85"/>
      <c r="I107" s="85"/>
      <c r="J107" s="85"/>
    </row>
    <row r="108" spans="1:10" x14ac:dyDescent="0.2">
      <c r="A108" s="85"/>
      <c r="B108" s="85"/>
      <c r="C108" s="85"/>
      <c r="D108" s="85"/>
      <c r="E108" s="85"/>
      <c r="F108" s="85"/>
      <c r="G108" s="85"/>
      <c r="H108" s="85"/>
      <c r="I108" s="85"/>
      <c r="J108" s="85"/>
    </row>
    <row r="109" spans="1:10" x14ac:dyDescent="0.2">
      <c r="A109" s="85"/>
      <c r="B109" s="85"/>
      <c r="C109" s="85"/>
      <c r="D109" s="85"/>
      <c r="E109" s="85"/>
      <c r="F109" s="85"/>
      <c r="G109" s="85"/>
      <c r="H109" s="85"/>
      <c r="I109" s="85"/>
      <c r="J109" s="85"/>
    </row>
    <row r="110" spans="1:10" ht="15" x14ac:dyDescent="0.25">
      <c r="A110" s="85"/>
      <c r="B110" s="961" t="s">
        <v>80</v>
      </c>
      <c r="C110" s="962"/>
      <c r="D110" s="963"/>
      <c r="E110" s="651" t="s">
        <v>48</v>
      </c>
      <c r="F110" s="128" t="s">
        <v>49</v>
      </c>
      <c r="G110" s="85"/>
      <c r="H110" s="85"/>
      <c r="I110" s="85"/>
      <c r="J110" s="85"/>
    </row>
    <row r="111" spans="1:10" x14ac:dyDescent="0.2">
      <c r="A111" s="85"/>
      <c r="B111" s="955" t="s">
        <v>81</v>
      </c>
      <c r="C111" s="956"/>
      <c r="D111" s="957"/>
      <c r="E111" s="129" t="e">
        <f>I101+I106</f>
        <v>#NUM!</v>
      </c>
      <c r="F111" s="129" t="e">
        <f>E111/6</f>
        <v>#NUM!</v>
      </c>
      <c r="G111" s="85"/>
      <c r="H111" s="85"/>
      <c r="I111" s="85"/>
      <c r="J111" s="85"/>
    </row>
    <row r="112" spans="1:10" x14ac:dyDescent="0.2">
      <c r="A112" s="85"/>
      <c r="B112" s="955" t="s">
        <v>82</v>
      </c>
      <c r="C112" s="956"/>
      <c r="D112" s="957"/>
      <c r="E112" s="129">
        <f>I64</f>
        <v>0</v>
      </c>
      <c r="F112" s="129">
        <f>E112/6</f>
        <v>0</v>
      </c>
      <c r="G112" s="85"/>
      <c r="H112" s="85"/>
      <c r="I112" s="85"/>
      <c r="J112" s="85"/>
    </row>
    <row r="113" spans="1:10" ht="15" x14ac:dyDescent="0.25">
      <c r="A113" s="85"/>
      <c r="B113" s="85"/>
      <c r="C113" s="85"/>
      <c r="D113" s="85"/>
      <c r="E113" s="652" t="s">
        <v>84</v>
      </c>
      <c r="F113" s="109" t="e">
        <f>F111+F112</f>
        <v>#NUM!</v>
      </c>
      <c r="G113" s="85"/>
      <c r="H113" s="85"/>
      <c r="I113" s="85"/>
      <c r="J113" s="85"/>
    </row>
    <row r="114" spans="1:10" x14ac:dyDescent="0.2">
      <c r="A114" s="85"/>
      <c r="B114" s="85"/>
      <c r="C114" s="85"/>
      <c r="D114" s="85"/>
      <c r="E114" s="85"/>
      <c r="F114" s="85"/>
      <c r="G114" s="85"/>
      <c r="H114" s="85"/>
      <c r="I114" s="85"/>
      <c r="J114" s="85"/>
    </row>
    <row r="115" spans="1:10" x14ac:dyDescent="0.2">
      <c r="A115" s="85"/>
      <c r="B115" s="85"/>
      <c r="C115" s="85"/>
      <c r="D115" s="85"/>
      <c r="E115" s="85"/>
      <c r="F115" s="85"/>
      <c r="G115" s="85"/>
      <c r="H115" s="85"/>
      <c r="I115" s="85"/>
      <c r="J115" s="85"/>
    </row>
    <row r="116" spans="1:10" x14ac:dyDescent="0.2">
      <c r="A116" s="85"/>
      <c r="B116" s="85"/>
      <c r="C116" s="85"/>
      <c r="D116" s="85"/>
      <c r="E116" s="85"/>
      <c r="F116" s="85"/>
      <c r="G116" s="85"/>
      <c r="H116" s="85"/>
      <c r="I116" s="85"/>
      <c r="J116" s="85"/>
    </row>
    <row r="117" spans="1:10" x14ac:dyDescent="0.2">
      <c r="A117" s="85"/>
      <c r="B117" s="85"/>
      <c r="C117" s="85"/>
      <c r="D117" s="85"/>
      <c r="E117" s="85"/>
      <c r="F117" s="85"/>
      <c r="G117" s="85"/>
      <c r="H117" s="85"/>
      <c r="I117" s="85"/>
      <c r="J117" s="85"/>
    </row>
    <row r="118" spans="1:10" x14ac:dyDescent="0.2">
      <c r="A118" s="85"/>
      <c r="B118" s="85"/>
      <c r="C118" s="85"/>
      <c r="D118" s="85"/>
      <c r="E118" s="85"/>
      <c r="F118" s="85"/>
      <c r="G118" s="85"/>
      <c r="H118" s="85"/>
      <c r="I118" s="85"/>
      <c r="J118" s="85"/>
    </row>
    <row r="119" spans="1:10" x14ac:dyDescent="0.2">
      <c r="A119" s="85"/>
      <c r="B119" s="85"/>
      <c r="C119" s="85"/>
      <c r="D119" s="85"/>
      <c r="E119" s="85"/>
      <c r="F119" s="958" t="s">
        <v>85</v>
      </c>
      <c r="G119" s="958"/>
      <c r="H119" s="405"/>
      <c r="I119" s="85"/>
      <c r="J119" s="85"/>
    </row>
    <row r="120" spans="1:10" x14ac:dyDescent="0.2">
      <c r="A120" s="85"/>
      <c r="B120" s="85"/>
      <c r="C120" s="85"/>
      <c r="D120" s="85"/>
      <c r="E120" s="85"/>
      <c r="F120" s="959" t="s">
        <v>86</v>
      </c>
      <c r="G120" s="959"/>
      <c r="H120" s="406"/>
      <c r="I120" s="85"/>
      <c r="J120" s="85"/>
    </row>
    <row r="121" spans="1:10" ht="15" x14ac:dyDescent="0.25">
      <c r="A121" s="85"/>
      <c r="B121" s="85"/>
      <c r="C121" s="85"/>
      <c r="D121" s="85"/>
      <c r="E121" s="85"/>
      <c r="F121" s="960" t="s">
        <v>87</v>
      </c>
      <c r="G121" s="960"/>
      <c r="H121" s="132" t="e">
        <f>IF(Kurzantrag!C12&gt;0,Kurzantrag!C12,ROUND(F113*45%,2))</f>
        <v>#NUM!</v>
      </c>
      <c r="I121" s="85"/>
      <c r="J121" s="85"/>
    </row>
    <row r="122" spans="1:10" x14ac:dyDescent="0.2">
      <c r="A122" s="85"/>
      <c r="B122" s="85"/>
      <c r="C122" s="85"/>
      <c r="D122" s="85"/>
      <c r="E122" s="85"/>
      <c r="F122" s="85"/>
      <c r="G122" s="85"/>
      <c r="H122" s="85"/>
      <c r="I122" s="85"/>
      <c r="J122" s="85"/>
    </row>
    <row r="123" spans="1:10" x14ac:dyDescent="0.2">
      <c r="A123" s="127"/>
      <c r="B123" s="127"/>
      <c r="C123" s="127"/>
      <c r="D123" s="127"/>
      <c r="E123" s="127"/>
      <c r="F123" s="127"/>
      <c r="G123" s="127"/>
      <c r="H123" s="127"/>
      <c r="I123" s="127"/>
      <c r="J123" s="127"/>
    </row>
    <row r="124" spans="1:10" x14ac:dyDescent="0.2">
      <c r="A124" s="2"/>
      <c r="B124" s="2"/>
      <c r="C124" s="2"/>
      <c r="D124" s="2"/>
      <c r="E124" s="2"/>
      <c r="F124" s="2"/>
      <c r="G124" s="2"/>
      <c r="H124" s="2"/>
      <c r="I124" s="2"/>
      <c r="J124" s="2"/>
    </row>
    <row r="125" spans="1:10" x14ac:dyDescent="0.2">
      <c r="A125" s="67"/>
      <c r="B125" s="67"/>
      <c r="C125" s="67"/>
      <c r="D125" s="67"/>
      <c r="E125" s="67"/>
      <c r="F125" s="67"/>
      <c r="G125" s="67"/>
      <c r="H125" s="67"/>
      <c r="I125" s="67"/>
      <c r="J125" s="67"/>
    </row>
    <row r="126" spans="1:10" x14ac:dyDescent="0.2">
      <c r="A126" s="67"/>
      <c r="B126" s="67"/>
      <c r="C126" s="67"/>
      <c r="D126" s="67"/>
      <c r="E126" s="67"/>
      <c r="F126" s="67"/>
      <c r="G126" s="67"/>
      <c r="H126" s="67"/>
      <c r="I126" s="67"/>
      <c r="J126" s="67"/>
    </row>
    <row r="127" spans="1:10" x14ac:dyDescent="0.2">
      <c r="A127" s="67"/>
      <c r="B127" s="67"/>
      <c r="C127" s="67"/>
      <c r="D127" s="67"/>
      <c r="E127" s="67"/>
      <c r="F127" s="67"/>
      <c r="G127" s="67"/>
      <c r="H127" s="67"/>
      <c r="I127" s="67"/>
      <c r="J127" s="67"/>
    </row>
    <row r="128" spans="1:10" x14ac:dyDescent="0.2">
      <c r="A128" s="67"/>
      <c r="B128" s="67"/>
      <c r="C128" s="67"/>
      <c r="D128" s="67"/>
      <c r="E128" s="67"/>
      <c r="F128" s="67"/>
      <c r="G128" s="67"/>
      <c r="H128" s="67"/>
      <c r="I128" s="67"/>
      <c r="J128" s="67"/>
    </row>
    <row r="129" spans="1:10" x14ac:dyDescent="0.2">
      <c r="A129" s="67"/>
      <c r="B129" s="67"/>
      <c r="C129" s="67"/>
      <c r="D129" s="67"/>
      <c r="E129" s="67"/>
      <c r="F129" s="67"/>
      <c r="G129" s="67"/>
      <c r="H129" s="67"/>
      <c r="I129" s="67"/>
      <c r="J129" s="67"/>
    </row>
    <row r="130" spans="1:10" x14ac:dyDescent="0.2">
      <c r="A130" s="67"/>
      <c r="B130" s="67"/>
      <c r="C130" s="67"/>
      <c r="D130" s="67"/>
      <c r="E130" s="67"/>
      <c r="F130" s="67"/>
      <c r="G130" s="67"/>
      <c r="H130" s="67"/>
      <c r="I130" s="67"/>
      <c r="J130" s="67"/>
    </row>
    <row r="131" spans="1:10" x14ac:dyDescent="0.2">
      <c r="A131" s="64"/>
      <c r="B131" s="64"/>
      <c r="C131" s="64"/>
      <c r="D131" s="64"/>
      <c r="E131" s="64"/>
      <c r="F131" s="64"/>
      <c r="G131" s="64"/>
      <c r="H131" s="64"/>
      <c r="I131" s="64"/>
      <c r="J131" s="64"/>
    </row>
    <row r="132" spans="1:10" x14ac:dyDescent="0.2">
      <c r="A132" s="64"/>
      <c r="B132" s="64"/>
      <c r="C132" s="64"/>
      <c r="D132" s="64"/>
      <c r="E132" s="64"/>
      <c r="F132" s="64"/>
      <c r="G132" s="64"/>
      <c r="H132" s="64"/>
      <c r="I132" s="64"/>
      <c r="J132" s="64"/>
    </row>
    <row r="133" spans="1:10" x14ac:dyDescent="0.2">
      <c r="A133" s="64"/>
      <c r="B133" s="64"/>
      <c r="C133" s="64"/>
      <c r="D133" s="64"/>
      <c r="E133" s="64"/>
      <c r="F133" s="64"/>
      <c r="G133" s="64"/>
      <c r="H133" s="64"/>
      <c r="I133" s="64"/>
      <c r="J133" s="64"/>
    </row>
    <row r="134" spans="1:10" x14ac:dyDescent="0.2">
      <c r="A134" s="64"/>
      <c r="B134" s="64"/>
      <c r="C134" s="64"/>
      <c r="D134" s="64"/>
      <c r="E134" s="64"/>
      <c r="F134" s="64"/>
      <c r="G134" s="64"/>
      <c r="H134" s="64"/>
      <c r="I134" s="64"/>
      <c r="J134" s="64"/>
    </row>
    <row r="135" spans="1:10" x14ac:dyDescent="0.2">
      <c r="A135" s="64"/>
      <c r="B135" s="64"/>
      <c r="C135" s="64"/>
      <c r="D135" s="64"/>
      <c r="E135" s="64"/>
      <c r="F135" s="64"/>
      <c r="G135" s="64"/>
      <c r="H135" s="64"/>
      <c r="I135" s="64"/>
      <c r="J135" s="64"/>
    </row>
    <row r="136" spans="1:10" x14ac:dyDescent="0.2">
      <c r="A136" s="64"/>
      <c r="B136" s="64"/>
      <c r="C136" s="64"/>
      <c r="D136" s="64"/>
      <c r="E136" s="64"/>
      <c r="F136" s="64"/>
      <c r="G136" s="64"/>
      <c r="H136" s="64"/>
      <c r="I136" s="64"/>
      <c r="J136" s="64"/>
    </row>
    <row r="137" spans="1:10" x14ac:dyDescent="0.2">
      <c r="A137" s="64"/>
      <c r="B137" s="64"/>
      <c r="C137" s="64"/>
      <c r="D137" s="64"/>
      <c r="E137" s="64"/>
      <c r="F137" s="64"/>
      <c r="G137" s="64"/>
      <c r="H137" s="64"/>
      <c r="I137" s="64"/>
      <c r="J137" s="64"/>
    </row>
    <row r="138" spans="1:10" x14ac:dyDescent="0.2">
      <c r="A138" s="64"/>
      <c r="B138" s="64"/>
      <c r="C138" s="64"/>
      <c r="D138" s="64"/>
      <c r="E138" s="64"/>
      <c r="F138" s="64"/>
      <c r="G138" s="64"/>
      <c r="H138" s="64"/>
      <c r="I138" s="64"/>
      <c r="J138" s="64"/>
    </row>
    <row r="139" spans="1:10" x14ac:dyDescent="0.2">
      <c r="A139" s="64"/>
      <c r="B139" s="64"/>
      <c r="C139" s="64"/>
      <c r="D139" s="64"/>
      <c r="E139" s="64"/>
      <c r="F139" s="64"/>
      <c r="G139" s="64"/>
      <c r="H139" s="64"/>
      <c r="I139" s="64"/>
      <c r="J139" s="64"/>
    </row>
    <row r="140" spans="1:10" x14ac:dyDescent="0.2">
      <c r="A140" s="64"/>
      <c r="B140" s="64"/>
      <c r="C140" s="64"/>
      <c r="D140" s="64"/>
      <c r="E140" s="64"/>
      <c r="F140" s="64"/>
      <c r="G140" s="64"/>
      <c r="H140" s="64"/>
      <c r="I140" s="64"/>
      <c r="J140" s="64"/>
    </row>
    <row r="141" spans="1:10" x14ac:dyDescent="0.2">
      <c r="A141" s="64"/>
      <c r="B141" s="64"/>
      <c r="C141" s="64"/>
      <c r="D141" s="64"/>
      <c r="E141" s="64"/>
      <c r="F141" s="64"/>
      <c r="G141" s="64"/>
      <c r="H141" s="64"/>
      <c r="I141" s="64"/>
      <c r="J141" s="64"/>
    </row>
  </sheetData>
  <sheetProtection algorithmName="SHA-512" hashValue="rNY1K6KV3ueOBFCveJQhPciwCFZxpado1ArAiCFwbLpgt/q2kiguif90uCSicfC09j1GwvIBFemwWGjiSq9Iog==" saltValue="30K/toLiNvMFVsyK78WewQ==" spinCount="100000" sheet="1" formatCells="0" formatColumns="0" formatRows="0" insertColumns="0" insertRows="0" insertHyperlinks="0" deleteColumns="0" deleteRows="0" sort="0" pivotTables="0"/>
  <mergeCells count="84">
    <mergeCell ref="A15:B15"/>
    <mergeCell ref="C1:H1"/>
    <mergeCell ref="A3:B3"/>
    <mergeCell ref="A4:B4"/>
    <mergeCell ref="A5:B5"/>
    <mergeCell ref="A6:B6"/>
    <mergeCell ref="A8:B8"/>
    <mergeCell ref="A9:B9"/>
    <mergeCell ref="A10:B10"/>
    <mergeCell ref="A11:B11"/>
    <mergeCell ref="A13:B13"/>
    <mergeCell ref="A14:B14"/>
    <mergeCell ref="A48:B48"/>
    <mergeCell ref="B32:C32"/>
    <mergeCell ref="A16:B16"/>
    <mergeCell ref="A18:B18"/>
    <mergeCell ref="A20:B20"/>
    <mergeCell ref="A21:B21"/>
    <mergeCell ref="A22:B22"/>
    <mergeCell ref="A24:B24"/>
    <mergeCell ref="A25:B25"/>
    <mergeCell ref="A26:B26"/>
    <mergeCell ref="A27:B27"/>
    <mergeCell ref="B30:C30"/>
    <mergeCell ref="B31:C31"/>
    <mergeCell ref="A43:B43"/>
    <mergeCell ref="A44:B44"/>
    <mergeCell ref="A45:B45"/>
    <mergeCell ref="A46:B46"/>
    <mergeCell ref="A47:B47"/>
    <mergeCell ref="A37:B37"/>
    <mergeCell ref="A38:B38"/>
    <mergeCell ref="A39:B39"/>
    <mergeCell ref="A41:B41"/>
    <mergeCell ref="A42:B42"/>
    <mergeCell ref="A57:B57"/>
    <mergeCell ref="A58:B58"/>
    <mergeCell ref="A59:B59"/>
    <mergeCell ref="A60:B60"/>
    <mergeCell ref="A49:B49"/>
    <mergeCell ref="A50:B50"/>
    <mergeCell ref="A51:B51"/>
    <mergeCell ref="A52:B52"/>
    <mergeCell ref="A53:B53"/>
    <mergeCell ref="A56:B56"/>
    <mergeCell ref="C72:H72"/>
    <mergeCell ref="A73:B73"/>
    <mergeCell ref="A75:B75"/>
    <mergeCell ref="A76:B76"/>
    <mergeCell ref="J76:J77"/>
    <mergeCell ref="A77:B77"/>
    <mergeCell ref="A74:B74"/>
    <mergeCell ref="J78:J79"/>
    <mergeCell ref="A79:B79"/>
    <mergeCell ref="A91:B91"/>
    <mergeCell ref="A80:B80"/>
    <mergeCell ref="I80:J80"/>
    <mergeCell ref="A81:B81"/>
    <mergeCell ref="A82:B82"/>
    <mergeCell ref="A83:B83"/>
    <mergeCell ref="A85:B85"/>
    <mergeCell ref="A86:B86"/>
    <mergeCell ref="A87:B87"/>
    <mergeCell ref="A88:B88"/>
    <mergeCell ref="A89:B89"/>
    <mergeCell ref="A90:B90"/>
    <mergeCell ref="B110:D110"/>
    <mergeCell ref="A92:B92"/>
    <mergeCell ref="A93:B93"/>
    <mergeCell ref="A94:B94"/>
    <mergeCell ref="A95:B95"/>
    <mergeCell ref="A97:B97"/>
    <mergeCell ref="A99:B99"/>
    <mergeCell ref="A100:B100"/>
    <mergeCell ref="A101:B101"/>
    <mergeCell ref="A104:B104"/>
    <mergeCell ref="A105:B105"/>
    <mergeCell ref="A106:B106"/>
    <mergeCell ref="A98:B98"/>
    <mergeCell ref="B111:D111"/>
    <mergeCell ref="B112:D112"/>
    <mergeCell ref="F119:G119"/>
    <mergeCell ref="F120:G120"/>
    <mergeCell ref="F121:G121"/>
  </mergeCells>
  <dataValidations count="3">
    <dataValidation allowBlank="1" showInputMessage="1" showErrorMessage="1" prompt="Bitte geben Sie das Datum im Format Monat Jahr ein (z.B. Beginn August 2012 = Aug 12)." sqref="J76:J79" xr:uid="{00000000-0002-0000-0600-000000000000}"/>
    <dataValidation type="decimal" allowBlank="1" showInputMessage="1" showErrorMessage="1" error="Der eingegebene Wert ist unzulässig. Bitte geben Sie eine Zahl ein, die größer 0 ist." sqref="C3:H6 C8:H11 C13:H16 C90:H95 C24:H27 C38:H39 C41:H41 C43:H45 C47:H49 C52:H53 C57:H59 C18:H22 C79:H82 C86:H88 C75:H77" xr:uid="{00000000-0002-0000-0600-000001000000}">
      <formula1>0</formula1>
      <formula2>1000000</formula2>
    </dataValidation>
    <dataValidation type="list" allowBlank="1" showInputMessage="1" showErrorMessage="1" sqref="C74:H74" xr:uid="{00000000-0002-0000-0600-000002000000}">
      <formula1>".,ja,nein"</formula1>
    </dataValidation>
  </dataValidations>
  <pageMargins left="0.70866141732283472" right="0.70866141732283472" top="0.8666666666666667" bottom="0.78740157480314965" header="0.31496062992125984" footer="0.31496062992125984"/>
  <pageSetup paperSize="9" scale="96" orientation="landscape" r:id="rId1"/>
  <headerFooter>
    <oddHeader>&amp;L&amp;"Arial,Fett"&amp;U4. Ermittlung des anzurechnenden Einkommens des Kindes / der Kinder:
4.1. Einkommensermittlung Kind 1:&amp;R&amp;D</oddHeader>
    <oddFooter>&amp;R&amp;P</oddFooter>
  </headerFooter>
  <rowBreaks count="3" manualBreakCount="3">
    <brk id="31" max="16383" man="1"/>
    <brk id="67" max="16383" man="1"/>
    <brk id="103"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dimension ref="A1:J141"/>
  <sheetViews>
    <sheetView showGridLines="0" zoomScaleNormal="100" workbookViewId="0">
      <selection activeCell="C18" sqref="C18"/>
    </sheetView>
  </sheetViews>
  <sheetFormatPr baseColWidth="10" defaultRowHeight="14.25" x14ac:dyDescent="0.2"/>
  <cols>
    <col min="1" max="16384" width="11" style="1"/>
  </cols>
  <sheetData>
    <row r="1" spans="1:10" ht="15" x14ac:dyDescent="0.25">
      <c r="A1" s="96"/>
      <c r="B1" s="59"/>
      <c r="C1" s="952" t="s">
        <v>251</v>
      </c>
      <c r="D1" s="952"/>
      <c r="E1" s="952"/>
      <c r="F1" s="952"/>
      <c r="G1" s="952"/>
      <c r="H1" s="952"/>
      <c r="I1" s="2"/>
      <c r="J1" s="2"/>
    </row>
    <row r="2" spans="1:10" ht="15" x14ac:dyDescent="0.25">
      <c r="A2" s="187" t="s">
        <v>29</v>
      </c>
      <c r="B2" s="188"/>
      <c r="C2" s="66" t="e">
        <f>EDATE(BG!D2,-6)</f>
        <v>#NUM!</v>
      </c>
      <c r="D2" s="66" t="e">
        <f>EDATE(BG!D2,-5)</f>
        <v>#NUM!</v>
      </c>
      <c r="E2" s="66" t="e">
        <f>EDATE(BG!D2,-4)</f>
        <v>#NUM!</v>
      </c>
      <c r="F2" s="66" t="e">
        <f>EDATE(BG!D2,-3)</f>
        <v>#NUM!</v>
      </c>
      <c r="G2" s="66" t="e">
        <f>EDATE(BG!D2,-2)</f>
        <v>#NUM!</v>
      </c>
      <c r="H2" s="66" t="e">
        <f>EDATE(BG!D2,-1)</f>
        <v>#NUM!</v>
      </c>
      <c r="I2" s="169"/>
      <c r="J2" s="169"/>
    </row>
    <row r="3" spans="1:10" x14ac:dyDescent="0.2">
      <c r="A3" s="1021" t="s">
        <v>66</v>
      </c>
      <c r="B3" s="1022"/>
      <c r="C3" s="69"/>
      <c r="D3" s="69"/>
      <c r="E3" s="69"/>
      <c r="F3" s="69"/>
      <c r="G3" s="69"/>
      <c r="H3" s="69"/>
      <c r="I3" s="110"/>
      <c r="J3" s="110"/>
    </row>
    <row r="4" spans="1:10" x14ac:dyDescent="0.2">
      <c r="A4" s="1036" t="s">
        <v>38</v>
      </c>
      <c r="B4" s="1037"/>
      <c r="C4" s="70"/>
      <c r="D4" s="70"/>
      <c r="E4" s="70"/>
      <c r="F4" s="70"/>
      <c r="G4" s="70"/>
      <c r="H4" s="70"/>
      <c r="I4" s="110"/>
      <c r="J4" s="110"/>
    </row>
    <row r="5" spans="1:10" x14ac:dyDescent="0.2">
      <c r="A5" s="1025" t="s">
        <v>67</v>
      </c>
      <c r="B5" s="1026"/>
      <c r="C5" s="73"/>
      <c r="D5" s="73"/>
      <c r="E5" s="73"/>
      <c r="F5" s="73"/>
      <c r="G5" s="73"/>
      <c r="H5" s="73"/>
      <c r="I5" s="110"/>
      <c r="J5" s="110"/>
    </row>
    <row r="6" spans="1:10" x14ac:dyDescent="0.2">
      <c r="A6" s="1019" t="s">
        <v>68</v>
      </c>
      <c r="B6" s="1020"/>
      <c r="C6" s="74"/>
      <c r="D6" s="74"/>
      <c r="E6" s="74"/>
      <c r="F6" s="74"/>
      <c r="G6" s="74"/>
      <c r="H6" s="74"/>
      <c r="I6" s="110"/>
      <c r="J6" s="110"/>
    </row>
    <row r="7" spans="1:10" x14ac:dyDescent="0.2">
      <c r="A7" s="100"/>
      <c r="B7" s="100"/>
      <c r="C7" s="143">
        <f t="shared" ref="C7:H7" si="0">IF((C3+C4)=0,0,IF(AND((C3-C5)&gt;=0,(C4-C6)&gt;=0),(C3+C4-C5-C6),IF(AND((C3-C5)&gt;0,(C4-C6)&lt;0),(C3-C5),IF(AND((C3-C5)&lt;0,(C4-C6)&gt;0),(C4-C6),IF((C3-C5)&gt;0,(C3-C5),IF((C3-C5)&lt;0,0))))))</f>
        <v>0</v>
      </c>
      <c r="D7" s="143">
        <f t="shared" si="0"/>
        <v>0</v>
      </c>
      <c r="E7" s="143">
        <f t="shared" si="0"/>
        <v>0</v>
      </c>
      <c r="F7" s="143">
        <f t="shared" si="0"/>
        <v>0</v>
      </c>
      <c r="G7" s="143">
        <f t="shared" si="0"/>
        <v>0</v>
      </c>
      <c r="H7" s="143">
        <f t="shared" si="0"/>
        <v>0</v>
      </c>
      <c r="I7" s="59"/>
      <c r="J7" s="59"/>
    </row>
    <row r="8" spans="1:10" x14ac:dyDescent="0.2">
      <c r="A8" s="1038" t="s">
        <v>69</v>
      </c>
      <c r="B8" s="1039"/>
      <c r="C8" s="69"/>
      <c r="D8" s="69"/>
      <c r="E8" s="69"/>
      <c r="F8" s="69"/>
      <c r="G8" s="69"/>
      <c r="H8" s="69"/>
      <c r="I8" s="110"/>
      <c r="J8" s="110"/>
    </row>
    <row r="9" spans="1:10" x14ac:dyDescent="0.2">
      <c r="A9" s="1040" t="s">
        <v>38</v>
      </c>
      <c r="B9" s="1041"/>
      <c r="C9" s="70"/>
      <c r="D9" s="70"/>
      <c r="E9" s="70"/>
      <c r="F9" s="70"/>
      <c r="G9" s="70"/>
      <c r="H9" s="70"/>
      <c r="I9" s="110"/>
      <c r="J9" s="110"/>
    </row>
    <row r="10" spans="1:10" x14ac:dyDescent="0.2">
      <c r="A10" s="1025" t="s">
        <v>67</v>
      </c>
      <c r="B10" s="1026"/>
      <c r="C10" s="69"/>
      <c r="D10" s="69"/>
      <c r="E10" s="69"/>
      <c r="F10" s="69"/>
      <c r="G10" s="69"/>
      <c r="H10" s="69"/>
      <c r="I10" s="110"/>
      <c r="J10" s="110"/>
    </row>
    <row r="11" spans="1:10" x14ac:dyDescent="0.2">
      <c r="A11" s="1019" t="s">
        <v>68</v>
      </c>
      <c r="B11" s="1020"/>
      <c r="C11" s="74"/>
      <c r="D11" s="74"/>
      <c r="E11" s="74"/>
      <c r="F11" s="74"/>
      <c r="G11" s="74"/>
      <c r="H11" s="74"/>
      <c r="I11" s="110"/>
      <c r="J11" s="110"/>
    </row>
    <row r="12" spans="1:10" x14ac:dyDescent="0.2">
      <c r="A12" s="101"/>
      <c r="B12" s="101"/>
      <c r="C12" s="143">
        <f t="shared" ref="C12:H12" si="1">IF((C8+C9)=0,0,IF(AND((C8-C10)&gt;=0,(C9-C11)&gt;=0),(C8+C9-C10-C11),IF(AND((C8-C10)&gt;0,(C9-C11)&lt;0),(C8-C10),IF(AND((C8-C10)&lt;0,(C9-C11)&gt;0),(C9-C11),IF((C8-C10)&gt;0,(C8-C10),IF((C8-C10)&lt;0,0))))))</f>
        <v>0</v>
      </c>
      <c r="D12" s="143">
        <f t="shared" si="1"/>
        <v>0</v>
      </c>
      <c r="E12" s="143">
        <f t="shared" si="1"/>
        <v>0</v>
      </c>
      <c r="F12" s="143">
        <f t="shared" si="1"/>
        <v>0</v>
      </c>
      <c r="G12" s="143">
        <f t="shared" si="1"/>
        <v>0</v>
      </c>
      <c r="H12" s="143">
        <f t="shared" si="1"/>
        <v>0</v>
      </c>
      <c r="I12" s="59"/>
      <c r="J12" s="59"/>
    </row>
    <row r="13" spans="1:10" x14ac:dyDescent="0.2">
      <c r="A13" s="1021" t="s">
        <v>70</v>
      </c>
      <c r="B13" s="1022"/>
      <c r="C13" s="69"/>
      <c r="D13" s="69"/>
      <c r="E13" s="69"/>
      <c r="F13" s="69"/>
      <c r="G13" s="69"/>
      <c r="H13" s="69"/>
      <c r="I13" s="110"/>
      <c r="J13" s="110"/>
    </row>
    <row r="14" spans="1:10" x14ac:dyDescent="0.2">
      <c r="A14" s="1023" t="s">
        <v>38</v>
      </c>
      <c r="B14" s="1024"/>
      <c r="C14" s="70"/>
      <c r="D14" s="70"/>
      <c r="E14" s="70"/>
      <c r="F14" s="70"/>
      <c r="G14" s="70"/>
      <c r="H14" s="70"/>
      <c r="I14" s="110"/>
      <c r="J14" s="110"/>
    </row>
    <row r="15" spans="1:10" x14ac:dyDescent="0.2">
      <c r="A15" s="1025" t="s">
        <v>67</v>
      </c>
      <c r="B15" s="1026"/>
      <c r="C15" s="75"/>
      <c r="D15" s="69"/>
      <c r="E15" s="69"/>
      <c r="F15" s="69"/>
      <c r="G15" s="69"/>
      <c r="H15" s="69"/>
      <c r="I15" s="110"/>
      <c r="J15" s="110"/>
    </row>
    <row r="16" spans="1:10" x14ac:dyDescent="0.2">
      <c r="A16" s="1019" t="s">
        <v>68</v>
      </c>
      <c r="B16" s="1020"/>
      <c r="C16" s="76"/>
      <c r="D16" s="77"/>
      <c r="E16" s="77"/>
      <c r="F16" s="77"/>
      <c r="G16" s="77"/>
      <c r="H16" s="77"/>
      <c r="I16" s="110"/>
      <c r="J16" s="110"/>
    </row>
    <row r="17" spans="1:10" x14ac:dyDescent="0.2">
      <c r="A17" s="101"/>
      <c r="B17" s="101"/>
      <c r="C17" s="143">
        <f t="shared" ref="C17:H17" si="2">IF((C13+C14)=0,0,IF(AND((C13-C15)&gt;=0,(C14-C16)&gt;=0),(C13+C14-C15-C16),IF(AND((C13-C15)&gt;0,(C14-C16)&lt;0),(C13-C15),IF(AND((C13-C15)&lt;0,(C14-C16)&gt;0),(C14-C16),IF((C13-C15)&gt;0,(C13-C15),IF((C13-C15)&lt;0,0))))))</f>
        <v>0</v>
      </c>
      <c r="D17" s="143">
        <f t="shared" si="2"/>
        <v>0</v>
      </c>
      <c r="E17" s="143">
        <f t="shared" si="2"/>
        <v>0</v>
      </c>
      <c r="F17" s="143">
        <f t="shared" si="2"/>
        <v>0</v>
      </c>
      <c r="G17" s="143">
        <f t="shared" si="2"/>
        <v>0</v>
      </c>
      <c r="H17" s="143">
        <f t="shared" si="2"/>
        <v>0</v>
      </c>
      <c r="I17" s="59"/>
      <c r="J17" s="59"/>
    </row>
    <row r="18" spans="1:10" x14ac:dyDescent="0.2">
      <c r="A18" s="1021" t="s">
        <v>516</v>
      </c>
      <c r="B18" s="1022"/>
      <c r="C18" s="78"/>
      <c r="D18" s="78"/>
      <c r="E18" s="78"/>
      <c r="F18" s="78"/>
      <c r="G18" s="78"/>
      <c r="H18" s="78"/>
      <c r="I18" s="110"/>
      <c r="J18" s="110"/>
    </row>
    <row r="19" spans="1:10" x14ac:dyDescent="0.2">
      <c r="A19" s="610"/>
      <c r="B19" s="611" t="s">
        <v>517</v>
      </c>
      <c r="C19" s="612"/>
      <c r="D19" s="612"/>
      <c r="E19" s="612"/>
      <c r="F19" s="612"/>
      <c r="G19" s="612"/>
      <c r="H19" s="612"/>
      <c r="I19" s="110"/>
      <c r="J19" s="110"/>
    </row>
    <row r="20" spans="1:10" x14ac:dyDescent="0.2">
      <c r="A20" s="1023" t="s">
        <v>515</v>
      </c>
      <c r="B20" s="1024"/>
      <c r="C20" s="111"/>
      <c r="D20" s="111"/>
      <c r="E20" s="111"/>
      <c r="F20" s="111"/>
      <c r="G20" s="111"/>
      <c r="H20" s="111"/>
      <c r="I20" s="110"/>
      <c r="J20" s="110"/>
    </row>
    <row r="21" spans="1:10" x14ac:dyDescent="0.2">
      <c r="A21" s="1025" t="s">
        <v>67</v>
      </c>
      <c r="B21" s="1026"/>
      <c r="C21" s="75"/>
      <c r="D21" s="78"/>
      <c r="E21" s="78"/>
      <c r="F21" s="78"/>
      <c r="G21" s="78"/>
      <c r="H21" s="78"/>
      <c r="I21" s="110"/>
      <c r="J21" s="110"/>
    </row>
    <row r="22" spans="1:10" x14ac:dyDescent="0.2">
      <c r="A22" s="1019" t="s">
        <v>68</v>
      </c>
      <c r="B22" s="1020"/>
      <c r="C22" s="79"/>
      <c r="D22" s="74"/>
      <c r="E22" s="74"/>
      <c r="F22" s="74"/>
      <c r="G22" s="74"/>
      <c r="H22" s="74"/>
      <c r="I22" s="110"/>
      <c r="J22" s="110"/>
    </row>
    <row r="23" spans="1:10" s="614" customFormat="1" x14ac:dyDescent="0.2">
      <c r="A23" s="615"/>
      <c r="B23" s="615"/>
      <c r="C23" s="143">
        <f>IF((C18+C19+C20)=0,0,IF(AND((C18+C19-C21)&gt;=0,(C20-C22)&gt;=0),(C18+C19+C20-C21-C22),IF(AND((C18+C19-C21)&gt;0,(C20-C22)&lt;0),(C18+C19-C21),IF(AND((C18+C19-C21)&lt;0,(C20-C22)&gt;0),(C20-C22),IF((C18+C19-C21)&gt;0,(C18+C19-C21),IF((C18+C19-C21)&lt;0,0))))))</f>
        <v>0</v>
      </c>
      <c r="D23" s="143">
        <f t="shared" ref="D23:H23" si="3">IF((D18+D19+D20)=0,0,IF(AND((D18+D19-D21)&gt;=0,(D20-D22)&gt;=0),(D18+D19+D20-D21-D22),IF(AND((D18+D19-D21)&gt;0,(D20-D22)&lt;0),(D18+D19-D21),IF(AND((D18+D19-D21)&lt;0,(D20-D22)&gt;0),(D20-D22),IF((D18+D19-D21)&gt;0,(D18+D19-D21),IF((D18+D19-D21)&lt;0,0))))))</f>
        <v>0</v>
      </c>
      <c r="E23" s="143">
        <f t="shared" si="3"/>
        <v>0</v>
      </c>
      <c r="F23" s="143">
        <f t="shared" si="3"/>
        <v>0</v>
      </c>
      <c r="G23" s="143">
        <f t="shared" si="3"/>
        <v>0</v>
      </c>
      <c r="H23" s="143">
        <f t="shared" si="3"/>
        <v>0</v>
      </c>
      <c r="I23" s="81"/>
      <c r="J23" s="81"/>
    </row>
    <row r="24" spans="1:10" x14ac:dyDescent="0.2">
      <c r="A24" s="1021" t="s">
        <v>71</v>
      </c>
      <c r="B24" s="1022"/>
      <c r="C24" s="69"/>
      <c r="D24" s="69"/>
      <c r="E24" s="69"/>
      <c r="F24" s="69"/>
      <c r="G24" s="69"/>
      <c r="H24" s="69"/>
      <c r="I24" s="110"/>
      <c r="J24" s="110"/>
    </row>
    <row r="25" spans="1:10" x14ac:dyDescent="0.2">
      <c r="A25" s="1023" t="s">
        <v>38</v>
      </c>
      <c r="B25" s="1024"/>
      <c r="C25" s="70"/>
      <c r="D25" s="70"/>
      <c r="E25" s="70"/>
      <c r="F25" s="70"/>
      <c r="G25" s="70"/>
      <c r="H25" s="70"/>
      <c r="I25" s="110"/>
      <c r="J25" s="110"/>
    </row>
    <row r="26" spans="1:10" x14ac:dyDescent="0.2">
      <c r="A26" s="1025" t="s">
        <v>67</v>
      </c>
      <c r="B26" s="1026"/>
      <c r="C26" s="75"/>
      <c r="D26" s="69"/>
      <c r="E26" s="69"/>
      <c r="F26" s="69"/>
      <c r="G26" s="69"/>
      <c r="H26" s="69"/>
      <c r="I26" s="110"/>
      <c r="J26" s="110"/>
    </row>
    <row r="27" spans="1:10" x14ac:dyDescent="0.2">
      <c r="A27" s="1027" t="s">
        <v>68</v>
      </c>
      <c r="B27" s="1028"/>
      <c r="C27" s="79"/>
      <c r="D27" s="74"/>
      <c r="E27" s="74"/>
      <c r="F27" s="74"/>
      <c r="G27" s="74"/>
      <c r="H27" s="74"/>
      <c r="I27" s="110"/>
      <c r="J27" s="110"/>
    </row>
    <row r="28" spans="1:10" x14ac:dyDescent="0.2">
      <c r="A28" s="102"/>
      <c r="B28" s="193"/>
      <c r="C28" s="144">
        <f t="shared" ref="C28:H28" si="4">IF((C24+C25)=0,0,IF(AND((C24-C26)&gt;=0,(C25-C27)&gt;=0),(C24+C25-C26-C27),IF(AND((C24-C26)&gt;0,(C25-C27)&lt;0),(C24-C26),IF(AND((C24-C26)&lt;0,(C25-C27)&gt;0),(C25-C27),IF((C24-C26)&gt;0,(C24-C26),IF((C24-C26)&lt;0,0))))))</f>
        <v>0</v>
      </c>
      <c r="D28" s="144">
        <f t="shared" si="4"/>
        <v>0</v>
      </c>
      <c r="E28" s="144">
        <f t="shared" si="4"/>
        <v>0</v>
      </c>
      <c r="F28" s="144">
        <f t="shared" si="4"/>
        <v>0</v>
      </c>
      <c r="G28" s="144">
        <f t="shared" si="4"/>
        <v>0</v>
      </c>
      <c r="H28" s="144">
        <f t="shared" si="4"/>
        <v>0</v>
      </c>
      <c r="I28" s="2"/>
      <c r="J28" s="2"/>
    </row>
    <row r="29" spans="1:10" s="614" customFormat="1" x14ac:dyDescent="0.2">
      <c r="A29" s="84"/>
      <c r="B29" s="616"/>
      <c r="C29" s="616">
        <f>IF(AND(C18&gt;0,AS!C53&gt;0),C18,0)</f>
        <v>0</v>
      </c>
      <c r="D29" s="616">
        <f>IF(AND(D18&gt;0,AS!D53&gt;0),D18,0)</f>
        <v>0</v>
      </c>
      <c r="E29" s="616">
        <f>IF(AND(E18&gt;0,AS!E53&gt;0),E18,0)</f>
        <v>0</v>
      </c>
      <c r="F29" s="616">
        <f>IF(AND(F18&gt;0,AS!F53&gt;0),F18,0)</f>
        <v>0</v>
      </c>
      <c r="G29" s="616">
        <f>IF(AND(G18&gt;0,AS!G53&gt;0),G18,0)</f>
        <v>0</v>
      </c>
      <c r="H29" s="616">
        <f>IF(AND(H18&gt;0,AS!H53&gt;0),H18,0)</f>
        <v>0</v>
      </c>
      <c r="I29" s="617"/>
      <c r="J29" s="613"/>
    </row>
    <row r="30" spans="1:10" x14ac:dyDescent="0.2">
      <c r="A30" s="2"/>
      <c r="B30" s="1029"/>
      <c r="C30" s="1029"/>
      <c r="D30" s="157"/>
      <c r="E30" s="157"/>
      <c r="F30" s="157"/>
      <c r="G30" s="157"/>
      <c r="H30" s="157"/>
      <c r="I30" s="157"/>
      <c r="J30" s="2"/>
    </row>
    <row r="31" spans="1:10" x14ac:dyDescent="0.2">
      <c r="A31" s="2"/>
      <c r="B31" s="1018"/>
      <c r="C31" s="1018"/>
      <c r="D31" s="156"/>
      <c r="E31" s="156"/>
      <c r="F31" s="156"/>
      <c r="G31" s="156"/>
      <c r="H31" s="156"/>
      <c r="I31" s="156"/>
      <c r="J31" s="2"/>
    </row>
    <row r="32" spans="1:10" x14ac:dyDescent="0.2">
      <c r="A32" s="2"/>
      <c r="B32" s="1018"/>
      <c r="C32" s="1018"/>
      <c r="D32" s="156"/>
      <c r="E32" s="156"/>
      <c r="F32" s="156"/>
      <c r="G32" s="156"/>
      <c r="H32" s="156"/>
      <c r="I32" s="156"/>
      <c r="J32" s="2"/>
    </row>
    <row r="33" spans="1:10" x14ac:dyDescent="0.2">
      <c r="A33" s="2"/>
      <c r="B33" s="185"/>
      <c r="C33" s="185"/>
      <c r="D33" s="156"/>
      <c r="E33" s="156"/>
      <c r="F33" s="156"/>
      <c r="G33" s="156"/>
      <c r="H33" s="156"/>
      <c r="I33" s="156"/>
      <c r="J33" s="2"/>
    </row>
    <row r="34" spans="1:10" x14ac:dyDescent="0.2">
      <c r="A34" s="2"/>
      <c r="B34" s="2"/>
      <c r="C34" s="2"/>
      <c r="D34" s="2"/>
      <c r="E34" s="2"/>
      <c r="F34" s="2"/>
      <c r="G34" s="2"/>
      <c r="H34" s="2"/>
      <c r="I34" s="2"/>
      <c r="J34" s="2"/>
    </row>
    <row r="35" spans="1:10" x14ac:dyDescent="0.2">
      <c r="A35" s="2"/>
      <c r="B35" s="2"/>
      <c r="C35" s="2"/>
      <c r="D35" s="2"/>
      <c r="E35" s="2"/>
      <c r="F35" s="2"/>
      <c r="G35" s="2"/>
      <c r="H35" s="2"/>
      <c r="I35" s="2"/>
      <c r="J35" s="2"/>
    </row>
    <row r="36" spans="1:10" x14ac:dyDescent="0.2">
      <c r="A36" s="2"/>
      <c r="B36" s="2"/>
      <c r="C36" s="2"/>
      <c r="D36" s="2"/>
      <c r="E36" s="2"/>
      <c r="F36" s="2"/>
      <c r="G36" s="2"/>
      <c r="H36" s="2"/>
      <c r="I36" s="2"/>
      <c r="J36" s="2"/>
    </row>
    <row r="37" spans="1:10" ht="15" x14ac:dyDescent="0.25">
      <c r="A37" s="1008" t="s">
        <v>29</v>
      </c>
      <c r="B37" s="1009"/>
      <c r="C37" s="66" t="e">
        <f>EDATE(BG!D2,-6)</f>
        <v>#NUM!</v>
      </c>
      <c r="D37" s="66" t="e">
        <f>EDATE(BG!D2,-5)</f>
        <v>#NUM!</v>
      </c>
      <c r="E37" s="66" t="e">
        <f>EDATE(BG!D2,-4)</f>
        <v>#NUM!</v>
      </c>
      <c r="F37" s="66" t="e">
        <f>EDATE(BG!D2,-3)</f>
        <v>#NUM!</v>
      </c>
      <c r="G37" s="66" t="e">
        <f>EDATE(BG!D2,-2)</f>
        <v>#NUM!</v>
      </c>
      <c r="H37" s="66" t="e">
        <f>EDATE(BG!D2,-1)</f>
        <v>#NUM!</v>
      </c>
      <c r="I37" s="169"/>
      <c r="J37" s="169"/>
    </row>
    <row r="38" spans="1:10" x14ac:dyDescent="0.2">
      <c r="A38" s="1010" t="s">
        <v>73</v>
      </c>
      <c r="B38" s="1011"/>
      <c r="C38" s="80"/>
      <c r="D38" s="80"/>
      <c r="E38" s="80"/>
      <c r="F38" s="80"/>
      <c r="G38" s="80"/>
      <c r="H38" s="80"/>
      <c r="I38" s="110"/>
      <c r="J38" s="110"/>
    </row>
    <row r="39" spans="1:10" x14ac:dyDescent="0.2">
      <c r="A39" s="1002" t="s">
        <v>74</v>
      </c>
      <c r="B39" s="1003"/>
      <c r="C39" s="80"/>
      <c r="D39" s="80"/>
      <c r="E39" s="80"/>
      <c r="F39" s="80"/>
      <c r="G39" s="80"/>
      <c r="H39" s="80"/>
      <c r="I39" s="110"/>
      <c r="J39" s="110"/>
    </row>
    <row r="40" spans="1:10" x14ac:dyDescent="0.2">
      <c r="A40" s="2"/>
      <c r="B40" s="2"/>
      <c r="C40" s="2"/>
      <c r="D40" s="2"/>
      <c r="E40" s="2"/>
      <c r="F40" s="2"/>
      <c r="G40" s="2"/>
      <c r="H40" s="2"/>
      <c r="I40" s="59"/>
      <c r="J40" s="59"/>
    </row>
    <row r="41" spans="1:10" x14ac:dyDescent="0.2">
      <c r="A41" s="1012" t="s">
        <v>252</v>
      </c>
      <c r="B41" s="1013"/>
      <c r="C41" s="194"/>
      <c r="D41" s="194"/>
      <c r="E41" s="194"/>
      <c r="F41" s="194"/>
      <c r="G41" s="194"/>
      <c r="H41" s="201"/>
      <c r="I41" s="110"/>
      <c r="J41" s="110"/>
    </row>
    <row r="42" spans="1:10" x14ac:dyDescent="0.2">
      <c r="A42" s="1014" t="s">
        <v>313</v>
      </c>
      <c r="B42" s="1015"/>
      <c r="C42" s="110"/>
      <c r="D42" s="110"/>
      <c r="E42" s="110"/>
      <c r="F42" s="110"/>
      <c r="G42" s="110"/>
      <c r="H42" s="123"/>
      <c r="I42" s="59"/>
      <c r="J42" s="59"/>
    </row>
    <row r="43" spans="1:10" x14ac:dyDescent="0.2">
      <c r="A43" s="1030" t="s">
        <v>314</v>
      </c>
      <c r="B43" s="1031"/>
      <c r="C43" s="112"/>
      <c r="D43" s="112"/>
      <c r="E43" s="112"/>
      <c r="F43" s="112"/>
      <c r="G43" s="112"/>
      <c r="H43" s="112"/>
      <c r="I43" s="110"/>
      <c r="J43" s="110"/>
    </row>
    <row r="44" spans="1:10" x14ac:dyDescent="0.2">
      <c r="A44" s="1032" t="s">
        <v>315</v>
      </c>
      <c r="B44" s="1033"/>
      <c r="C44" s="113"/>
      <c r="D44" s="113"/>
      <c r="E44" s="113"/>
      <c r="F44" s="113"/>
      <c r="G44" s="113"/>
      <c r="H44" s="113"/>
      <c r="I44" s="110"/>
      <c r="J44" s="110"/>
    </row>
    <row r="45" spans="1:10" x14ac:dyDescent="0.2">
      <c r="A45" s="1034" t="s">
        <v>316</v>
      </c>
      <c r="B45" s="1035"/>
      <c r="C45" s="113"/>
      <c r="D45" s="113"/>
      <c r="E45" s="113"/>
      <c r="F45" s="113"/>
      <c r="G45" s="113"/>
      <c r="H45" s="113"/>
      <c r="I45" s="110"/>
      <c r="J45" s="110"/>
    </row>
    <row r="46" spans="1:10" x14ac:dyDescent="0.2">
      <c r="A46" s="1005" t="s">
        <v>317</v>
      </c>
      <c r="B46" s="1006"/>
      <c r="C46" s="124" t="e">
        <f t="shared" ref="C46:H46" si="5">IF(AND(C96=0,C41&gt;0,C61&gt;17),30,0)</f>
        <v>#NUM!</v>
      </c>
      <c r="D46" s="124" t="e">
        <f t="shared" si="5"/>
        <v>#NUM!</v>
      </c>
      <c r="E46" s="124" t="e">
        <f t="shared" si="5"/>
        <v>#NUM!</v>
      </c>
      <c r="F46" s="124" t="e">
        <f t="shared" si="5"/>
        <v>#NUM!</v>
      </c>
      <c r="G46" s="124" t="e">
        <f t="shared" si="5"/>
        <v>#NUM!</v>
      </c>
      <c r="H46" s="124" t="e">
        <f t="shared" si="5"/>
        <v>#NUM!</v>
      </c>
      <c r="I46" s="59"/>
      <c r="J46" s="59"/>
    </row>
    <row r="47" spans="1:10" x14ac:dyDescent="0.2">
      <c r="A47" s="1007" t="s">
        <v>58</v>
      </c>
      <c r="B47" s="1007"/>
      <c r="C47" s="114"/>
      <c r="D47" s="114"/>
      <c r="E47" s="114"/>
      <c r="F47" s="114"/>
      <c r="G47" s="114"/>
      <c r="H47" s="114"/>
      <c r="I47" s="110"/>
      <c r="J47" s="110"/>
    </row>
    <row r="48" spans="1:10" x14ac:dyDescent="0.2">
      <c r="A48" s="1016" t="s">
        <v>318</v>
      </c>
      <c r="B48" s="1017"/>
      <c r="C48" s="112"/>
      <c r="D48" s="112"/>
      <c r="E48" s="112"/>
      <c r="F48" s="112"/>
      <c r="G48" s="112"/>
      <c r="H48" s="112"/>
      <c r="I48" s="110"/>
      <c r="J48" s="110"/>
    </row>
    <row r="49" spans="1:10" x14ac:dyDescent="0.2">
      <c r="A49" s="999" t="s">
        <v>319</v>
      </c>
      <c r="B49" s="999"/>
      <c r="C49" s="115"/>
      <c r="D49" s="115"/>
      <c r="E49" s="115"/>
      <c r="F49" s="115"/>
      <c r="G49" s="115"/>
      <c r="H49" s="115"/>
      <c r="I49" s="110"/>
      <c r="J49" s="110"/>
    </row>
    <row r="50" spans="1:10" x14ac:dyDescent="0.2">
      <c r="A50" s="999" t="s">
        <v>320</v>
      </c>
      <c r="B50" s="999"/>
      <c r="C50" s="68">
        <f t="shared" ref="C50:H50" si="6">IF(C41=ISBLANK(0),0,IF(C96&gt;0,SUM(C43:C49),IF(C96=0,IF(SUM(C43:C49)&lt;100,100,SUM(C43:C49)))))</f>
        <v>0</v>
      </c>
      <c r="D50" s="68">
        <f t="shared" si="6"/>
        <v>0</v>
      </c>
      <c r="E50" s="68">
        <f t="shared" si="6"/>
        <v>0</v>
      </c>
      <c r="F50" s="68">
        <f t="shared" si="6"/>
        <v>0</v>
      </c>
      <c r="G50" s="68">
        <f t="shared" si="6"/>
        <v>0</v>
      </c>
      <c r="H50" s="68">
        <f t="shared" si="6"/>
        <v>0</v>
      </c>
      <c r="I50" s="110"/>
      <c r="J50" s="110"/>
    </row>
    <row r="51" spans="1:10" x14ac:dyDescent="0.2">
      <c r="A51" s="999" t="s">
        <v>322</v>
      </c>
      <c r="B51" s="999"/>
      <c r="C51" s="68">
        <f t="shared" ref="C51:H51" si="7">IF(C41-C50&lt;0,0,C41-C50)</f>
        <v>0</v>
      </c>
      <c r="D51" s="68">
        <f t="shared" si="7"/>
        <v>0</v>
      </c>
      <c r="E51" s="68">
        <f t="shared" si="7"/>
        <v>0</v>
      </c>
      <c r="F51" s="68">
        <f t="shared" si="7"/>
        <v>0</v>
      </c>
      <c r="G51" s="68">
        <f t="shared" si="7"/>
        <v>0</v>
      </c>
      <c r="H51" s="68">
        <f t="shared" si="7"/>
        <v>0</v>
      </c>
      <c r="I51" s="59"/>
      <c r="J51" s="59"/>
    </row>
    <row r="52" spans="1:10" x14ac:dyDescent="0.2">
      <c r="A52" s="1000" t="s">
        <v>321</v>
      </c>
      <c r="B52" s="1001"/>
      <c r="C52" s="186"/>
      <c r="D52" s="186"/>
      <c r="E52" s="186"/>
      <c r="F52" s="186"/>
      <c r="G52" s="186"/>
      <c r="H52" s="200"/>
      <c r="I52" s="110"/>
      <c r="J52" s="110"/>
    </row>
    <row r="53" spans="1:10" x14ac:dyDescent="0.2">
      <c r="A53" s="1002" t="s">
        <v>68</v>
      </c>
      <c r="B53" s="1003"/>
      <c r="C53" s="80"/>
      <c r="D53" s="80"/>
      <c r="E53" s="80"/>
      <c r="F53" s="80"/>
      <c r="G53" s="80"/>
      <c r="H53" s="80"/>
      <c r="I53" s="110"/>
      <c r="J53" s="110"/>
    </row>
    <row r="54" spans="1:10" x14ac:dyDescent="0.2">
      <c r="A54" s="2"/>
      <c r="B54" s="2"/>
      <c r="C54" s="93">
        <f t="shared" ref="C54:H54" si="8">IF((C52-C53)&lt;0,0,(C52-C53))</f>
        <v>0</v>
      </c>
      <c r="D54" s="93">
        <f t="shared" si="8"/>
        <v>0</v>
      </c>
      <c r="E54" s="93">
        <f t="shared" si="8"/>
        <v>0</v>
      </c>
      <c r="F54" s="93">
        <f t="shared" si="8"/>
        <v>0</v>
      </c>
      <c r="G54" s="93">
        <f t="shared" si="8"/>
        <v>0</v>
      </c>
      <c r="H54" s="93">
        <f t="shared" si="8"/>
        <v>0</v>
      </c>
      <c r="I54" s="59"/>
      <c r="J54" s="59"/>
    </row>
    <row r="55" spans="1:10" x14ac:dyDescent="0.2">
      <c r="A55" s="2"/>
      <c r="B55" s="2"/>
      <c r="C55" s="93">
        <f t="shared" ref="C55:H55" si="9">IF(C38-C39&lt;0,0,C38-C39)</f>
        <v>0</v>
      </c>
      <c r="D55" s="93">
        <f t="shared" si="9"/>
        <v>0</v>
      </c>
      <c r="E55" s="93">
        <f t="shared" si="9"/>
        <v>0</v>
      </c>
      <c r="F55" s="93">
        <f t="shared" si="9"/>
        <v>0</v>
      </c>
      <c r="G55" s="93">
        <f t="shared" si="9"/>
        <v>0</v>
      </c>
      <c r="H55" s="93">
        <f t="shared" si="9"/>
        <v>0</v>
      </c>
      <c r="I55" s="59"/>
      <c r="J55" s="59"/>
    </row>
    <row r="56" spans="1:10" ht="15" x14ac:dyDescent="0.25">
      <c r="A56" s="1004" t="s">
        <v>75</v>
      </c>
      <c r="B56" s="1004"/>
      <c r="C56" s="125" t="s">
        <v>323</v>
      </c>
      <c r="D56" s="122"/>
      <c r="E56" s="122"/>
      <c r="F56" s="122"/>
      <c r="G56" s="122"/>
      <c r="H56" s="122"/>
      <c r="I56" s="59"/>
      <c r="J56" s="59"/>
    </row>
    <row r="57" spans="1:10" x14ac:dyDescent="0.2">
      <c r="A57" s="998" t="s">
        <v>56</v>
      </c>
      <c r="B57" s="998"/>
      <c r="C57" s="72"/>
      <c r="D57" s="72"/>
      <c r="E57" s="72"/>
      <c r="F57" s="72"/>
      <c r="G57" s="72"/>
      <c r="H57" s="72"/>
      <c r="I57" s="110"/>
      <c r="J57" s="110"/>
    </row>
    <row r="58" spans="1:10" x14ac:dyDescent="0.2">
      <c r="A58" s="998" t="s">
        <v>57</v>
      </c>
      <c r="B58" s="998"/>
      <c r="C58" s="72"/>
      <c r="D58" s="72"/>
      <c r="E58" s="72"/>
      <c r="F58" s="72"/>
      <c r="G58" s="72"/>
      <c r="H58" s="72"/>
      <c r="I58" s="110"/>
      <c r="J58" s="110"/>
    </row>
    <row r="59" spans="1:10" x14ac:dyDescent="0.2">
      <c r="A59" s="998" t="s">
        <v>58</v>
      </c>
      <c r="B59" s="998"/>
      <c r="C59" s="72"/>
      <c r="D59" s="72"/>
      <c r="E59" s="72"/>
      <c r="F59" s="72"/>
      <c r="G59" s="72"/>
      <c r="H59" s="72"/>
      <c r="I59" s="110"/>
      <c r="J59" s="110"/>
    </row>
    <row r="60" spans="1:10" x14ac:dyDescent="0.2">
      <c r="A60" s="966" t="s">
        <v>76</v>
      </c>
      <c r="B60" s="966"/>
      <c r="C60" s="105">
        <f>IF(C61&lt;18,0,IF(C46=30,0,IF((C75+C76+H78)&gt;0,0,IF(C96=0,30,IF(C96&gt;0,0)))))</f>
        <v>0</v>
      </c>
      <c r="D60" s="105">
        <f>IF(D61&lt;18,0,IF(D46=30,0,IF((D75+D76+H78)&gt;0,0,IF(D96=0,30,IF(D96&gt;0,0)))))</f>
        <v>0</v>
      </c>
      <c r="E60" s="105">
        <f>IF(E61&lt;18,0,IF(E46=30,0,IF((E75+E76+H78)&gt;0,0,IF(E96=0,30,IF(E96&gt;0,0)))))</f>
        <v>0</v>
      </c>
      <c r="F60" s="105">
        <f>IF(F61&lt;18,0,IF(F46=30,0,IF((F75+F76+H78)&gt;0,0,IF(F96=0,30,IF(F96&gt;0,0)))))</f>
        <v>0</v>
      </c>
      <c r="G60" s="105">
        <f>IF(G61&lt;18,0,IF(G46=30,0,IF((G75+G76+H78)&gt;0,0,IF(G96=0,30,IF(G96&gt;0,0)))))</f>
        <v>0</v>
      </c>
      <c r="H60" s="105">
        <f>IF(H61&lt;18,0,IF(H46=30,0,IF((H75+H76+H78)&gt;0,0,IF(H96=0,30,IF(H96&gt;0,0)))))</f>
        <v>0</v>
      </c>
      <c r="I60" s="2"/>
      <c r="J60" s="2"/>
    </row>
    <row r="61" spans="1:10" x14ac:dyDescent="0.2">
      <c r="A61" s="2"/>
      <c r="B61" s="2"/>
      <c r="C61" s="84">
        <f>IF(BG!$C$22=ISBLANK(0),0,IF(INT((C37-BG!$C$22)/365.25)&lt;0,0,INT((C37-BG!$C$22)/365.25)))</f>
        <v>0</v>
      </c>
      <c r="D61" s="84">
        <f>IF(BG!$C$22=ISBLANK(0),0,IF(INT((D37-BG!$C$22)/365.25)&lt;0,0,INT((D37-BG!$C$22)/365.25)))</f>
        <v>0</v>
      </c>
      <c r="E61" s="84">
        <f>IF(BG!$C$22=ISBLANK(0),0,IF(INT((E37-BG!$C$22)/365.25)&lt;0,0,INT((E37-BG!$C$22)/365.25)))</f>
        <v>0</v>
      </c>
      <c r="F61" s="84">
        <f>IF(BG!$C$22=ISBLANK(0),0,IF(INT((F37-BG!$C$22)/365.25)&lt;0,0,INT((F37-BG!$C$22)/365.25)))</f>
        <v>0</v>
      </c>
      <c r="G61" s="84">
        <f>IF(BG!$C$22=ISBLANK(0),0,IF(INT((G37-BG!$C$22)/365.25)&lt;0,0,INT((G37-BG!$C$22)/365.25)))</f>
        <v>0</v>
      </c>
      <c r="H61" s="84">
        <f>IF(BG!$C$22=ISBLANK(0),0,IF(INT((H37-BG!$C$22)/365.25)&lt;0,0,INT((H37-BG!$C$22)/365.25)))</f>
        <v>0</v>
      </c>
      <c r="I61" s="2"/>
      <c r="J61" s="2"/>
    </row>
    <row r="62" spans="1:10" x14ac:dyDescent="0.2">
      <c r="A62" s="60"/>
      <c r="B62" s="191" t="s">
        <v>77</v>
      </c>
      <c r="C62" s="97">
        <f t="shared" ref="C62:H62" si="10">C7+C12+C17+C23+C28+C51+C54+C55</f>
        <v>0</v>
      </c>
      <c r="D62" s="97">
        <f t="shared" si="10"/>
        <v>0</v>
      </c>
      <c r="E62" s="97">
        <f t="shared" si="10"/>
        <v>0</v>
      </c>
      <c r="F62" s="97">
        <f t="shared" si="10"/>
        <v>0</v>
      </c>
      <c r="G62" s="97">
        <f t="shared" si="10"/>
        <v>0</v>
      </c>
      <c r="H62" s="97">
        <f t="shared" si="10"/>
        <v>0</v>
      </c>
      <c r="I62" s="195" t="s">
        <v>48</v>
      </c>
      <c r="J62" s="2"/>
    </row>
    <row r="63" spans="1:10" x14ac:dyDescent="0.2">
      <c r="A63" s="103"/>
      <c r="B63" s="197" t="s">
        <v>78</v>
      </c>
      <c r="C63" s="106">
        <f t="shared" ref="C63:H63" si="11">SUM(C57:C60)</f>
        <v>0</v>
      </c>
      <c r="D63" s="106">
        <f t="shared" si="11"/>
        <v>0</v>
      </c>
      <c r="E63" s="106">
        <f t="shared" si="11"/>
        <v>0</v>
      </c>
      <c r="F63" s="106">
        <f t="shared" si="11"/>
        <v>0</v>
      </c>
      <c r="G63" s="106">
        <f t="shared" si="11"/>
        <v>0</v>
      </c>
      <c r="H63" s="106">
        <f t="shared" si="11"/>
        <v>0</v>
      </c>
      <c r="I63" s="107"/>
      <c r="J63" s="2"/>
    </row>
    <row r="64" spans="1:10" x14ac:dyDescent="0.2">
      <c r="A64" s="104"/>
      <c r="B64" s="192" t="s">
        <v>79</v>
      </c>
      <c r="C64" s="82">
        <f t="shared" ref="C64:H64" si="12">IF((C62-C63)&lt;0,0,(C62-C63))</f>
        <v>0</v>
      </c>
      <c r="D64" s="82">
        <f t="shared" si="12"/>
        <v>0</v>
      </c>
      <c r="E64" s="82">
        <f t="shared" si="12"/>
        <v>0</v>
      </c>
      <c r="F64" s="82">
        <f t="shared" si="12"/>
        <v>0</v>
      </c>
      <c r="G64" s="82">
        <f t="shared" si="12"/>
        <v>0</v>
      </c>
      <c r="H64" s="82">
        <f t="shared" si="12"/>
        <v>0</v>
      </c>
      <c r="I64" s="94">
        <f>SUM(C64:H64)</f>
        <v>0</v>
      </c>
      <c r="J64" s="2"/>
    </row>
    <row r="65" spans="1:10" x14ac:dyDescent="0.2">
      <c r="A65" s="2"/>
      <c r="B65" s="2"/>
      <c r="C65" s="2"/>
      <c r="D65" s="2"/>
      <c r="E65" s="2"/>
      <c r="F65" s="2"/>
      <c r="G65" s="2"/>
      <c r="H65" s="2"/>
      <c r="I65" s="2"/>
      <c r="J65" s="2"/>
    </row>
    <row r="66" spans="1:10" x14ac:dyDescent="0.2">
      <c r="A66" s="2"/>
      <c r="B66" s="2"/>
      <c r="C66" s="2"/>
      <c r="D66" s="2"/>
      <c r="E66" s="2"/>
      <c r="F66" s="2"/>
      <c r="G66" s="2"/>
      <c r="H66" s="2"/>
      <c r="I66" s="2"/>
      <c r="J66" s="2"/>
    </row>
    <row r="67" spans="1:10" x14ac:dyDescent="0.2">
      <c r="A67" s="2"/>
      <c r="B67" s="2"/>
      <c r="C67" s="2"/>
      <c r="D67" s="2"/>
      <c r="E67" s="2"/>
      <c r="F67" s="2"/>
      <c r="G67" s="2"/>
      <c r="H67" s="2"/>
      <c r="I67" s="2"/>
      <c r="J67" s="2"/>
    </row>
    <row r="68" spans="1:10" x14ac:dyDescent="0.2">
      <c r="A68" s="2"/>
      <c r="B68" s="2"/>
      <c r="C68" s="2"/>
      <c r="D68" s="2"/>
      <c r="E68" s="2"/>
      <c r="F68" s="2"/>
      <c r="G68" s="2"/>
      <c r="H68" s="2"/>
      <c r="I68" s="2"/>
      <c r="J68" s="2"/>
    </row>
    <row r="69" spans="1:10" x14ac:dyDescent="0.2">
      <c r="A69" s="2"/>
      <c r="B69" s="2"/>
      <c r="C69" s="2"/>
      <c r="D69" s="2"/>
      <c r="E69" s="2"/>
      <c r="F69" s="2"/>
      <c r="G69" s="2"/>
      <c r="H69" s="2"/>
      <c r="I69" s="2"/>
      <c r="J69" s="2"/>
    </row>
    <row r="70" spans="1:10" x14ac:dyDescent="0.2">
      <c r="A70" s="2"/>
      <c r="B70" s="2"/>
      <c r="C70" s="2"/>
      <c r="D70" s="2"/>
      <c r="E70" s="2"/>
      <c r="F70" s="2"/>
      <c r="G70" s="2"/>
      <c r="H70" s="2"/>
      <c r="I70" s="2"/>
      <c r="J70" s="2"/>
    </row>
    <row r="71" spans="1:10" x14ac:dyDescent="0.2">
      <c r="A71" s="2"/>
      <c r="B71" s="2"/>
      <c r="C71" s="2"/>
      <c r="D71" s="2"/>
      <c r="E71" s="2"/>
      <c r="F71" s="2"/>
      <c r="G71" s="2"/>
      <c r="H71" s="2"/>
      <c r="I71" s="2"/>
      <c r="J71" s="2"/>
    </row>
    <row r="72" spans="1:10" ht="15" x14ac:dyDescent="0.25">
      <c r="A72" s="65"/>
      <c r="B72" s="85"/>
      <c r="C72" s="952" t="s">
        <v>46</v>
      </c>
      <c r="D72" s="952"/>
      <c r="E72" s="952"/>
      <c r="F72" s="952"/>
      <c r="G72" s="952"/>
      <c r="H72" s="952"/>
      <c r="I72" s="85"/>
      <c r="J72" s="85"/>
    </row>
    <row r="73" spans="1:10" ht="15" x14ac:dyDescent="0.25">
      <c r="A73" s="990" t="s">
        <v>29</v>
      </c>
      <c r="B73" s="990"/>
      <c r="C73" s="66" t="e">
        <f>EDATE(BG!D2,-6)</f>
        <v>#NUM!</v>
      </c>
      <c r="D73" s="66" t="e">
        <f>EDATE(BG!D2,-5)</f>
        <v>#NUM!</v>
      </c>
      <c r="E73" s="66" t="e">
        <f>EDATE(BG!D2,-4)</f>
        <v>#NUM!</v>
      </c>
      <c r="F73" s="66" t="e">
        <f>EDATE(BG!D2,-3)</f>
        <v>#NUM!</v>
      </c>
      <c r="G73" s="66" t="e">
        <f>EDATE(BG!D2,-2)</f>
        <v>#NUM!</v>
      </c>
      <c r="H73" s="66" t="e">
        <f>EDATE(BG!D2,-1)</f>
        <v>#NUM!</v>
      </c>
      <c r="I73" s="382"/>
      <c r="J73" s="383"/>
    </row>
    <row r="74" spans="1:10" x14ac:dyDescent="0.2">
      <c r="A74" s="996" t="s">
        <v>596</v>
      </c>
      <c r="B74" s="997"/>
      <c r="C74" s="116" t="s">
        <v>185</v>
      </c>
      <c r="D74" s="116" t="s">
        <v>185</v>
      </c>
      <c r="E74" s="116" t="s">
        <v>185</v>
      </c>
      <c r="F74" s="116" t="s">
        <v>185</v>
      </c>
      <c r="G74" s="116" t="s">
        <v>185</v>
      </c>
      <c r="H74" s="116" t="s">
        <v>185</v>
      </c>
      <c r="I74" s="384"/>
      <c r="J74" s="185" t="str">
        <f>IF(SUM(C77:H77)&gt;0,"bitte hier"," ")</f>
        <v xml:space="preserve"> </v>
      </c>
    </row>
    <row r="75" spans="1:10" x14ac:dyDescent="0.2">
      <c r="A75" s="991" t="s">
        <v>47</v>
      </c>
      <c r="B75" s="991"/>
      <c r="C75" s="385"/>
      <c r="D75" s="385"/>
      <c r="E75" s="385"/>
      <c r="F75" s="385"/>
      <c r="G75" s="385"/>
      <c r="H75" s="385"/>
      <c r="I75" s="172"/>
      <c r="J75" s="183" t="str">
        <f>IF(SUM(C77:H77)&gt;0,"eintragen"," ")</f>
        <v xml:space="preserve"> </v>
      </c>
    </row>
    <row r="76" spans="1:10" x14ac:dyDescent="0.2">
      <c r="A76" s="992" t="s">
        <v>38</v>
      </c>
      <c r="B76" s="992"/>
      <c r="C76" s="386"/>
      <c r="D76" s="386"/>
      <c r="E76" s="386"/>
      <c r="F76" s="386"/>
      <c r="G76" s="386"/>
      <c r="H76" s="386"/>
      <c r="I76" s="387" t="str">
        <f>IF(SUM(C77:H77)&gt;0,"Beginn d."," ")</f>
        <v xml:space="preserve"> </v>
      </c>
      <c r="J76" s="993"/>
    </row>
    <row r="77" spans="1:10" x14ac:dyDescent="0.2">
      <c r="A77" s="995" t="s">
        <v>242</v>
      </c>
      <c r="B77" s="995"/>
      <c r="C77" s="388"/>
      <c r="D77" s="388"/>
      <c r="E77" s="388"/>
      <c r="F77" s="388"/>
      <c r="G77" s="388"/>
      <c r="H77" s="388"/>
      <c r="I77" s="389" t="str">
        <f>IF(SUM(C77:H77)&gt;0,"Selbständigkeit:"," ")</f>
        <v xml:space="preserve"> </v>
      </c>
      <c r="J77" s="994"/>
    </row>
    <row r="78" spans="1:10" x14ac:dyDescent="0.2">
      <c r="A78" s="85"/>
      <c r="B78" s="85"/>
      <c r="C78" s="291"/>
      <c r="D78" s="390"/>
      <c r="E78" s="142" t="s">
        <v>48</v>
      </c>
      <c r="F78" s="83">
        <f>SUM(C77:H77)</f>
        <v>0</v>
      </c>
      <c r="G78" s="81" t="s">
        <v>49</v>
      </c>
      <c r="H78" s="83" t="e">
        <f>ROUND((F78/J81),2)</f>
        <v>#NUM!</v>
      </c>
      <c r="I78" s="391" t="str">
        <f>IF(SUM(C77:H77)&gt;0,"Ende d."," ")</f>
        <v xml:space="preserve"> </v>
      </c>
      <c r="J78" s="970"/>
    </row>
    <row r="79" spans="1:10" x14ac:dyDescent="0.2">
      <c r="A79" s="972" t="s">
        <v>50</v>
      </c>
      <c r="B79" s="973"/>
      <c r="C79" s="392"/>
      <c r="D79" s="392"/>
      <c r="E79" s="392"/>
      <c r="F79" s="392"/>
      <c r="G79" s="392"/>
      <c r="H79" s="392"/>
      <c r="I79" s="389" t="str">
        <f>IF(SUM(C77:H77)&gt;0,"Selbständigkeit:"," ")</f>
        <v xml:space="preserve"> </v>
      </c>
      <c r="J79" s="971"/>
    </row>
    <row r="80" spans="1:10" x14ac:dyDescent="0.2">
      <c r="A80" s="976" t="s">
        <v>51</v>
      </c>
      <c r="B80" s="977"/>
      <c r="C80" s="393"/>
      <c r="D80" s="393"/>
      <c r="E80" s="393"/>
      <c r="F80" s="393"/>
      <c r="G80" s="393"/>
      <c r="H80" s="393"/>
      <c r="I80" s="978" t="str">
        <f>IF(SUM(C77:H77)&gt;0,"Format: Monat Jahr"," ")</f>
        <v xml:space="preserve"> </v>
      </c>
      <c r="J80" s="979"/>
    </row>
    <row r="81" spans="1:10" x14ac:dyDescent="0.2">
      <c r="A81" s="980" t="s">
        <v>52</v>
      </c>
      <c r="B81" s="980"/>
      <c r="C81" s="394"/>
      <c r="D81" s="394"/>
      <c r="E81" s="394"/>
      <c r="F81" s="394"/>
      <c r="G81" s="394"/>
      <c r="H81" s="394"/>
      <c r="I81" s="198" t="e">
        <f>IF(J76&lt;MEG!C6,6,DATEDIF(J76,MEG!E6,"m")+1)</f>
        <v>#NUM!</v>
      </c>
      <c r="J81" s="199" t="e">
        <f>IF(J78=ISBLANK(0),I81,IF(J76=ISBLANK(0),I82,DATEDIF(I84,J84,"m")+1))</f>
        <v>#NUM!</v>
      </c>
    </row>
    <row r="82" spans="1:10" x14ac:dyDescent="0.2">
      <c r="A82" s="981" t="s">
        <v>54</v>
      </c>
      <c r="B82" s="981"/>
      <c r="C82" s="395"/>
      <c r="D82" s="395"/>
      <c r="E82" s="395"/>
      <c r="F82" s="395"/>
      <c r="G82" s="395"/>
      <c r="H82" s="395"/>
      <c r="I82" s="198" t="e">
        <f>IF(J78&lt;MEG!C6,6,DATEDIF(MEG!C6,J78,"m")+1)</f>
        <v>#NUM!</v>
      </c>
      <c r="J82" s="199"/>
    </row>
    <row r="83" spans="1:10" x14ac:dyDescent="0.2">
      <c r="A83" s="982"/>
      <c r="B83" s="982"/>
      <c r="C83" s="126" t="s">
        <v>48</v>
      </c>
      <c r="D83" s="83">
        <f>SUM(C81:H82)</f>
        <v>0</v>
      </c>
      <c r="E83" s="81" t="s">
        <v>49</v>
      </c>
      <c r="F83" s="83" t="e">
        <f>ROUND((D83/J81),2)</f>
        <v>#NUM!</v>
      </c>
      <c r="G83" s="90" t="s">
        <v>53</v>
      </c>
      <c r="H83" s="91" t="e">
        <f>IF((H78-F83)&lt;0,0,(H78-F83))</f>
        <v>#NUM!</v>
      </c>
      <c r="I83" s="81"/>
      <c r="J83" s="81"/>
    </row>
    <row r="84" spans="1:10" x14ac:dyDescent="0.2">
      <c r="A84" s="85"/>
      <c r="B84" s="383"/>
      <c r="C84" s="396"/>
      <c r="D84" s="396"/>
      <c r="E84" s="396"/>
      <c r="F84" s="396"/>
      <c r="G84" s="396"/>
      <c r="H84" s="88"/>
      <c r="I84" s="179" t="e">
        <f>IF(J76&lt;MEG!C6,MEG!C6,J76)</f>
        <v>#NUM!</v>
      </c>
      <c r="J84" s="179" t="e">
        <f>IF(J78&gt;MEG!E6,MEG!E6,J78)</f>
        <v>#NUM!</v>
      </c>
    </row>
    <row r="85" spans="1:10" x14ac:dyDescent="0.2">
      <c r="A85" s="980" t="s">
        <v>54</v>
      </c>
      <c r="B85" s="980"/>
      <c r="C85" s="397">
        <f t="shared" ref="C85:H85" si="13">SUM(C88,(C86*ROUND(C87,0)*0.2))</f>
        <v>0</v>
      </c>
      <c r="D85" s="397">
        <f t="shared" si="13"/>
        <v>0</v>
      </c>
      <c r="E85" s="397">
        <f t="shared" si="13"/>
        <v>0</v>
      </c>
      <c r="F85" s="397">
        <f t="shared" si="13"/>
        <v>0</v>
      </c>
      <c r="G85" s="397">
        <f t="shared" si="13"/>
        <v>0</v>
      </c>
      <c r="H85" s="397">
        <f t="shared" si="13"/>
        <v>0</v>
      </c>
      <c r="I85" s="203" t="e">
        <f>I84</f>
        <v>#NUM!</v>
      </c>
      <c r="J85" s="179" t="e">
        <f>IF(J78=ISBLANK(0),H73+1,J78)</f>
        <v>#NUM!</v>
      </c>
    </row>
    <row r="86" spans="1:10" x14ac:dyDescent="0.2">
      <c r="A86" s="983" t="s">
        <v>234</v>
      </c>
      <c r="B86" s="984"/>
      <c r="C86" s="398"/>
      <c r="D86" s="398"/>
      <c r="E86" s="398"/>
      <c r="F86" s="398"/>
      <c r="G86" s="398"/>
      <c r="H86" s="398"/>
      <c r="I86" s="202" t="e">
        <f>IF(I84&gt;C73,0,IF(J85&lt;C73,0,H83))</f>
        <v>#NUM!</v>
      </c>
      <c r="J86" s="81"/>
    </row>
    <row r="87" spans="1:10" x14ac:dyDescent="0.2">
      <c r="A87" s="983" t="s">
        <v>235</v>
      </c>
      <c r="B87" s="984"/>
      <c r="C87" s="398"/>
      <c r="D87" s="398"/>
      <c r="E87" s="398"/>
      <c r="F87" s="398"/>
      <c r="G87" s="398"/>
      <c r="H87" s="398"/>
      <c r="I87" s="202" t="e">
        <f>IF(I84&gt;D73,0,IF(J85&lt;D73,0,H83))</f>
        <v>#NUM!</v>
      </c>
      <c r="J87" s="81"/>
    </row>
    <row r="88" spans="1:10" x14ac:dyDescent="0.2">
      <c r="A88" s="985" t="s">
        <v>237</v>
      </c>
      <c r="B88" s="986"/>
      <c r="C88" s="395"/>
      <c r="D88" s="395"/>
      <c r="E88" s="395"/>
      <c r="F88" s="395"/>
      <c r="G88" s="395"/>
      <c r="H88" s="395"/>
      <c r="I88" s="202" t="e">
        <f>IF(I84&gt;E73,0,IF(J85&lt;E73,0,H83))</f>
        <v>#NUM!</v>
      </c>
      <c r="J88" s="81"/>
    </row>
    <row r="89" spans="1:10" x14ac:dyDescent="0.2">
      <c r="A89" s="987" t="s">
        <v>55</v>
      </c>
      <c r="B89" s="987"/>
      <c r="C89" s="399">
        <f t="shared" ref="C89:H89" si="14">C90*C91</f>
        <v>0</v>
      </c>
      <c r="D89" s="399">
        <f t="shared" si="14"/>
        <v>0</v>
      </c>
      <c r="E89" s="399">
        <f t="shared" si="14"/>
        <v>0</v>
      </c>
      <c r="F89" s="399">
        <f t="shared" si="14"/>
        <v>0</v>
      </c>
      <c r="G89" s="399">
        <f t="shared" si="14"/>
        <v>0</v>
      </c>
      <c r="H89" s="399">
        <f t="shared" si="14"/>
        <v>0</v>
      </c>
      <c r="I89" s="202" t="e">
        <f>IF(I84&gt;F73,0,IF(J85&lt;F73,0,H83))</f>
        <v>#NUM!</v>
      </c>
      <c r="J89" s="83"/>
    </row>
    <row r="90" spans="1:10" x14ac:dyDescent="0.2">
      <c r="A90" s="988" t="s">
        <v>238</v>
      </c>
      <c r="B90" s="989"/>
      <c r="C90" s="398"/>
      <c r="D90" s="398"/>
      <c r="E90" s="398"/>
      <c r="F90" s="398"/>
      <c r="G90" s="398"/>
      <c r="H90" s="398"/>
      <c r="I90" s="202" t="e">
        <f>IF(I84&gt;G73,0,IF(J85&lt;G73,0,H83))</f>
        <v>#NUM!</v>
      </c>
      <c r="J90" s="81"/>
    </row>
    <row r="91" spans="1:10" x14ac:dyDescent="0.2">
      <c r="A91" s="974" t="s">
        <v>239</v>
      </c>
      <c r="B91" s="975"/>
      <c r="C91" s="400"/>
      <c r="D91" s="400"/>
      <c r="E91" s="400"/>
      <c r="F91" s="400"/>
      <c r="G91" s="400"/>
      <c r="H91" s="400"/>
      <c r="I91" s="202" t="e">
        <f>IF(I84&gt;H73,0,IF(J85&lt;H73,0,H83))</f>
        <v>#NUM!</v>
      </c>
      <c r="J91" s="81"/>
    </row>
    <row r="92" spans="1:10" x14ac:dyDescent="0.2">
      <c r="A92" s="964" t="s">
        <v>236</v>
      </c>
      <c r="B92" s="965"/>
      <c r="C92" s="401"/>
      <c r="D92" s="401"/>
      <c r="E92" s="401"/>
      <c r="F92" s="401"/>
      <c r="G92" s="401"/>
      <c r="H92" s="401"/>
      <c r="I92" s="172"/>
      <c r="J92" s="95"/>
    </row>
    <row r="93" spans="1:10" x14ac:dyDescent="0.2">
      <c r="A93" s="966" t="s">
        <v>56</v>
      </c>
      <c r="B93" s="966"/>
      <c r="C93" s="401"/>
      <c r="D93" s="401"/>
      <c r="E93" s="401"/>
      <c r="F93" s="401"/>
      <c r="G93" s="401"/>
      <c r="H93" s="401"/>
      <c r="I93" s="172"/>
      <c r="J93" s="95"/>
    </row>
    <row r="94" spans="1:10" x14ac:dyDescent="0.2">
      <c r="A94" s="966" t="s">
        <v>57</v>
      </c>
      <c r="B94" s="966"/>
      <c r="C94" s="401"/>
      <c r="D94" s="401"/>
      <c r="E94" s="401"/>
      <c r="F94" s="401"/>
      <c r="G94" s="401"/>
      <c r="H94" s="401"/>
      <c r="I94" s="172"/>
      <c r="J94" s="95"/>
    </row>
    <row r="95" spans="1:10" x14ac:dyDescent="0.2">
      <c r="A95" s="966" t="s">
        <v>58</v>
      </c>
      <c r="B95" s="966"/>
      <c r="C95" s="402"/>
      <c r="D95" s="402"/>
      <c r="E95" s="402"/>
      <c r="F95" s="402"/>
      <c r="G95" s="402"/>
      <c r="H95" s="402"/>
      <c r="I95" s="172"/>
      <c r="J95" s="95"/>
    </row>
    <row r="96" spans="1:10" x14ac:dyDescent="0.2">
      <c r="A96" s="85"/>
      <c r="B96" s="85"/>
      <c r="C96" s="93" t="e">
        <f>C75+I86</f>
        <v>#NUM!</v>
      </c>
      <c r="D96" s="93" t="e">
        <f>D75+I87</f>
        <v>#NUM!</v>
      </c>
      <c r="E96" s="93" t="e">
        <f>E75+I88</f>
        <v>#NUM!</v>
      </c>
      <c r="F96" s="93" t="e">
        <f>F75+I89</f>
        <v>#NUM!</v>
      </c>
      <c r="G96" s="93" t="e">
        <f>G75+I90</f>
        <v>#NUM!</v>
      </c>
      <c r="H96" s="93" t="e">
        <f>H75+I91</f>
        <v>#NUM!</v>
      </c>
      <c r="I96" s="85"/>
      <c r="J96" s="85"/>
    </row>
    <row r="97" spans="1:10" x14ac:dyDescent="0.2">
      <c r="A97" s="966" t="s">
        <v>59</v>
      </c>
      <c r="B97" s="966"/>
      <c r="C97" s="94" t="e">
        <f>IF(C74="ja",Grundfreibeträge!G11,Grundfreibeträge!F11)</f>
        <v>#NUM!</v>
      </c>
      <c r="D97" s="94" t="e">
        <f>IF(D74="ja",Grundfreibeträge!G12,Grundfreibeträge!F12)</f>
        <v>#NUM!</v>
      </c>
      <c r="E97" s="94" t="e">
        <f>IF(E74="ja",Grundfreibeträge!G13,Grundfreibeträge!F13)</f>
        <v>#NUM!</v>
      </c>
      <c r="F97" s="94" t="e">
        <f>IF(F74="ja",Grundfreibeträge!G14,Grundfreibeträge!F14)</f>
        <v>#NUM!</v>
      </c>
      <c r="G97" s="94" t="e">
        <f>IF(G74="ja",Grundfreibeträge!G15,Grundfreibeträge!F15)</f>
        <v>#NUM!</v>
      </c>
      <c r="H97" s="94" t="e">
        <f>IF(H74="ja",Grundfreibeträge!G16,Grundfreibeträge!F16)</f>
        <v>#NUM!</v>
      </c>
      <c r="I97" s="85"/>
      <c r="J97" s="85"/>
    </row>
    <row r="98" spans="1:10" x14ac:dyDescent="0.2">
      <c r="A98" s="964" t="s">
        <v>597</v>
      </c>
      <c r="B98" s="965"/>
      <c r="C98" s="94" t="e">
        <f>MAX((MIN(C96,520)-C97)*0.2,0)</f>
        <v>#NUM!</v>
      </c>
      <c r="D98" s="94" t="e">
        <f t="shared" ref="D98:H98" si="15">MAX((MIN(D96,520)-D97)*0.2,0)</f>
        <v>#NUM!</v>
      </c>
      <c r="E98" s="94" t="e">
        <f t="shared" si="15"/>
        <v>#NUM!</v>
      </c>
      <c r="F98" s="94" t="e">
        <f t="shared" si="15"/>
        <v>#NUM!</v>
      </c>
      <c r="G98" s="94" t="e">
        <f t="shared" si="15"/>
        <v>#NUM!</v>
      </c>
      <c r="H98" s="94" t="e">
        <f t="shared" si="15"/>
        <v>#NUM!</v>
      </c>
      <c r="I98" s="85"/>
      <c r="J98" s="85"/>
    </row>
    <row r="99" spans="1:10" x14ac:dyDescent="0.2">
      <c r="A99" s="966" t="s">
        <v>60</v>
      </c>
      <c r="B99" s="966"/>
      <c r="C99" s="94" t="e">
        <f>MAX(MIN(C96-520,480)*0.3,0)</f>
        <v>#NUM!</v>
      </c>
      <c r="D99" s="94" t="e">
        <f t="shared" ref="D99:H99" si="16">MAX(MIN(D96-520,480)*0.3,0)</f>
        <v>#NUM!</v>
      </c>
      <c r="E99" s="94" t="e">
        <f t="shared" si="16"/>
        <v>#NUM!</v>
      </c>
      <c r="F99" s="94" t="e">
        <f t="shared" si="16"/>
        <v>#NUM!</v>
      </c>
      <c r="G99" s="94" t="e">
        <f t="shared" si="16"/>
        <v>#NUM!</v>
      </c>
      <c r="H99" s="94" t="e">
        <f t="shared" si="16"/>
        <v>#NUM!</v>
      </c>
      <c r="I99" s="85"/>
      <c r="J99" s="85"/>
    </row>
    <row r="100" spans="1:10" x14ac:dyDescent="0.2">
      <c r="A100" s="966" t="s">
        <v>61</v>
      </c>
      <c r="B100" s="966"/>
      <c r="C100" s="94" t="e">
        <f>IF(Grundfreibeträge!Q6="Kind ü18",Grundfreibeträge!H11,IF(C96&lt;1000,0,IF(C96&gt;=1500,50,ROUND((C96-1000)*10%,2))))</f>
        <v>#NUM!</v>
      </c>
      <c r="D100" s="94" t="e">
        <f>IF(Grundfreibeträge!Q6="Kind ü18",Grundfreibeträge!H12,IF(D96&lt;1000,0,IF(D96&gt;=1500,50,ROUND((D96-1000)*10%,2))))</f>
        <v>#NUM!</v>
      </c>
      <c r="E100" s="94" t="e">
        <f>IF(Grundfreibeträge!Q6="Kind ü18",Grundfreibeträge!H13,IF(E96&lt;1000,0,IF(E96&gt;=1500,50,ROUND((E96-1000)*10%,2))))</f>
        <v>#NUM!</v>
      </c>
      <c r="F100" s="94" t="e">
        <f>IF(Grundfreibeträge!Q6="Kind ü18",Grundfreibeträge!H14,IF(F96&lt;1000,0,IF(F96&gt;=1500,50,ROUND((F96-1000)*10%,2))))</f>
        <v>#NUM!</v>
      </c>
      <c r="G100" s="94" t="e">
        <f>IF(Grundfreibeträge!Q6="Kind ü18",Grundfreibeträge!H15,IF(G96&lt;1000,0,IF(G96&gt;=1500,50,ROUND((G96-1000)*10%,2))))</f>
        <v>#NUM!</v>
      </c>
      <c r="H100" s="94" t="e">
        <f>IF(Grundfreibeträge!Q6="Kind ü18",Grundfreibeträge!H16,IF(H96&lt;1000,0,IF(H96&gt;=1500,50,ROUND((H96-1000)*10%,2))))</f>
        <v>#NUM!</v>
      </c>
      <c r="I100" s="237" t="s">
        <v>48</v>
      </c>
      <c r="J100" s="85"/>
    </row>
    <row r="101" spans="1:10" x14ac:dyDescent="0.2">
      <c r="A101" s="966" t="s">
        <v>62</v>
      </c>
      <c r="B101" s="966"/>
      <c r="C101" s="94" t="e">
        <f>IF(C96=0,0,MAX(C96-C79-C97-C98-C99-C100,0))</f>
        <v>#NUM!</v>
      </c>
      <c r="D101" s="94" t="e">
        <f t="shared" ref="D101:H101" si="17">IF(D96=0,0,MAX(D96-D79-D97-D98-D99-D100,0))</f>
        <v>#NUM!</v>
      </c>
      <c r="E101" s="94" t="e">
        <f t="shared" si="17"/>
        <v>#NUM!</v>
      </c>
      <c r="F101" s="94" t="e">
        <f t="shared" si="17"/>
        <v>#NUM!</v>
      </c>
      <c r="G101" s="94" t="e">
        <f t="shared" si="17"/>
        <v>#NUM!</v>
      </c>
      <c r="H101" s="94" t="e">
        <f t="shared" si="17"/>
        <v>#NUM!</v>
      </c>
      <c r="I101" s="94" t="e">
        <f>SUM(C101:H101)</f>
        <v>#NUM!</v>
      </c>
      <c r="J101" s="85"/>
    </row>
    <row r="102" spans="1:10" x14ac:dyDescent="0.2">
      <c r="A102" s="85"/>
      <c r="B102" s="86"/>
      <c r="C102" s="83" t="e">
        <f>C75+C76+I86</f>
        <v>#NUM!</v>
      </c>
      <c r="D102" s="83" t="e">
        <f>D75+D76+I87</f>
        <v>#NUM!</v>
      </c>
      <c r="E102" s="83" t="e">
        <f>E75+E76+I88</f>
        <v>#NUM!</v>
      </c>
      <c r="F102" s="83" t="e">
        <f>F75+F76+I89</f>
        <v>#NUM!</v>
      </c>
      <c r="G102" s="83" t="e">
        <f>G75+G76+I90</f>
        <v>#NUM!</v>
      </c>
      <c r="H102" s="83" t="e">
        <f>H75+H76+I91</f>
        <v>#NUM!</v>
      </c>
      <c r="I102" s="95"/>
      <c r="J102" s="85"/>
    </row>
    <row r="103" spans="1:10" ht="15" x14ac:dyDescent="0.25">
      <c r="A103" s="85"/>
      <c r="B103" s="85"/>
      <c r="C103" s="83" t="e">
        <f t="shared" ref="C103:H103" si="18">IF(C102=0,0,IF(C102&lt;=100,0,IF(C102&lt;=1000,(C102-100)*20%,IF(C102&gt;1000,180))))</f>
        <v>#NUM!</v>
      </c>
      <c r="D103" s="83" t="e">
        <f t="shared" si="18"/>
        <v>#NUM!</v>
      </c>
      <c r="E103" s="83" t="e">
        <f t="shared" si="18"/>
        <v>#NUM!</v>
      </c>
      <c r="F103" s="83" t="e">
        <f t="shared" si="18"/>
        <v>#NUM!</v>
      </c>
      <c r="G103" s="83" t="e">
        <f t="shared" si="18"/>
        <v>#NUM!</v>
      </c>
      <c r="H103" s="83" t="e">
        <f t="shared" si="18"/>
        <v>#NUM!</v>
      </c>
      <c r="I103" s="96"/>
      <c r="J103" s="85"/>
    </row>
    <row r="104" spans="1:10" ht="15" x14ac:dyDescent="0.25">
      <c r="A104" s="967" t="s">
        <v>63</v>
      </c>
      <c r="B104" s="967"/>
      <c r="C104" s="97" t="e">
        <f t="shared" ref="C104:H104" si="19">IF(C102&lt;1000,0,IF(C102&gt;=1500,50,ROUND((C102-1000)*10%,2)))</f>
        <v>#NUM!</v>
      </c>
      <c r="D104" s="97" t="e">
        <f t="shared" si="19"/>
        <v>#NUM!</v>
      </c>
      <c r="E104" s="97" t="e">
        <f t="shared" si="19"/>
        <v>#NUM!</v>
      </c>
      <c r="F104" s="97" t="e">
        <f t="shared" si="19"/>
        <v>#NUM!</v>
      </c>
      <c r="G104" s="97" t="e">
        <f t="shared" si="19"/>
        <v>#NUM!</v>
      </c>
      <c r="H104" s="97" t="e">
        <f t="shared" si="19"/>
        <v>#NUM!</v>
      </c>
      <c r="I104" s="96"/>
      <c r="J104" s="85"/>
    </row>
    <row r="105" spans="1:10" x14ac:dyDescent="0.2">
      <c r="A105" s="968" t="s">
        <v>64</v>
      </c>
      <c r="B105" s="968"/>
      <c r="C105" s="98">
        <f t="shared" ref="C105:H105" si="20">IF(C76=0,0,(C103+C104)-(C99+C100))</f>
        <v>0</v>
      </c>
      <c r="D105" s="98">
        <f t="shared" si="20"/>
        <v>0</v>
      </c>
      <c r="E105" s="98">
        <f t="shared" si="20"/>
        <v>0</v>
      </c>
      <c r="F105" s="98">
        <f t="shared" si="20"/>
        <v>0</v>
      </c>
      <c r="G105" s="98">
        <f t="shared" si="20"/>
        <v>0</v>
      </c>
      <c r="H105" s="98">
        <f t="shared" si="20"/>
        <v>0</v>
      </c>
      <c r="I105" s="99" t="s">
        <v>48</v>
      </c>
      <c r="J105" s="85"/>
    </row>
    <row r="106" spans="1:10" x14ac:dyDescent="0.2">
      <c r="A106" s="969" t="s">
        <v>65</v>
      </c>
      <c r="B106" s="969"/>
      <c r="C106" s="94">
        <f t="shared" ref="C106:H106" si="21">IF(C76=0,0,IF(AND(C76&gt;0,C96&gt;0),C76-C80-C105,IF(C76-C80-C105-C97&lt;0,0,C76-C80-C105-C97)))</f>
        <v>0</v>
      </c>
      <c r="D106" s="94">
        <f t="shared" si="21"/>
        <v>0</v>
      </c>
      <c r="E106" s="94">
        <f t="shared" si="21"/>
        <v>0</v>
      </c>
      <c r="F106" s="94">
        <f t="shared" si="21"/>
        <v>0</v>
      </c>
      <c r="G106" s="94">
        <f t="shared" si="21"/>
        <v>0</v>
      </c>
      <c r="H106" s="94">
        <f t="shared" si="21"/>
        <v>0</v>
      </c>
      <c r="I106" s="94">
        <f>SUM(C106:H106)</f>
        <v>0</v>
      </c>
      <c r="J106" s="85"/>
    </row>
    <row r="107" spans="1:10" x14ac:dyDescent="0.2">
      <c r="A107" s="85"/>
      <c r="B107" s="85"/>
      <c r="C107" s="85"/>
      <c r="D107" s="85"/>
      <c r="E107" s="85"/>
      <c r="F107" s="85"/>
      <c r="G107" s="85"/>
      <c r="H107" s="85"/>
      <c r="I107" s="85"/>
      <c r="J107" s="85"/>
    </row>
    <row r="108" spans="1:10" x14ac:dyDescent="0.2">
      <c r="A108" s="85"/>
      <c r="B108" s="85"/>
      <c r="C108" s="85"/>
      <c r="D108" s="85"/>
      <c r="E108" s="85"/>
      <c r="F108" s="85"/>
      <c r="G108" s="85"/>
      <c r="H108" s="85"/>
      <c r="I108" s="85"/>
      <c r="J108" s="85"/>
    </row>
    <row r="109" spans="1:10" x14ac:dyDescent="0.2">
      <c r="A109" s="85"/>
      <c r="B109" s="85"/>
      <c r="C109" s="85"/>
      <c r="D109" s="85"/>
      <c r="E109" s="85"/>
      <c r="F109" s="85"/>
      <c r="G109" s="85"/>
      <c r="H109" s="85"/>
      <c r="I109" s="85"/>
      <c r="J109" s="85"/>
    </row>
    <row r="110" spans="1:10" ht="15" x14ac:dyDescent="0.25">
      <c r="A110" s="85"/>
      <c r="B110" s="961" t="s">
        <v>80</v>
      </c>
      <c r="C110" s="962"/>
      <c r="D110" s="963"/>
      <c r="E110" s="404" t="s">
        <v>48</v>
      </c>
      <c r="F110" s="128" t="s">
        <v>49</v>
      </c>
      <c r="G110" s="85"/>
      <c r="H110" s="85"/>
      <c r="I110" s="85"/>
      <c r="J110" s="85"/>
    </row>
    <row r="111" spans="1:10" x14ac:dyDescent="0.2">
      <c r="A111" s="85"/>
      <c r="B111" s="955" t="s">
        <v>81</v>
      </c>
      <c r="C111" s="956"/>
      <c r="D111" s="957"/>
      <c r="E111" s="129" t="e">
        <f>I101+I106</f>
        <v>#NUM!</v>
      </c>
      <c r="F111" s="129" t="e">
        <f>E111/6</f>
        <v>#NUM!</v>
      </c>
      <c r="G111" s="85"/>
      <c r="H111" s="85"/>
      <c r="I111" s="85"/>
      <c r="J111" s="85"/>
    </row>
    <row r="112" spans="1:10" x14ac:dyDescent="0.2">
      <c r="A112" s="85"/>
      <c r="B112" s="955" t="s">
        <v>82</v>
      </c>
      <c r="C112" s="956"/>
      <c r="D112" s="957"/>
      <c r="E112" s="129">
        <f>I64</f>
        <v>0</v>
      </c>
      <c r="F112" s="129">
        <f>E112/6</f>
        <v>0</v>
      </c>
      <c r="G112" s="85"/>
      <c r="H112" s="85"/>
      <c r="I112" s="85"/>
      <c r="J112" s="85"/>
    </row>
    <row r="113" spans="1:10" ht="15" x14ac:dyDescent="0.25">
      <c r="A113" s="85"/>
      <c r="B113" s="85"/>
      <c r="C113" s="85"/>
      <c r="D113" s="85"/>
      <c r="E113" s="190" t="s">
        <v>84</v>
      </c>
      <c r="F113" s="109" t="e">
        <f>F111+F112</f>
        <v>#NUM!</v>
      </c>
      <c r="G113" s="85"/>
      <c r="H113" s="85"/>
      <c r="I113" s="85"/>
      <c r="J113" s="85"/>
    </row>
    <row r="114" spans="1:10" x14ac:dyDescent="0.2">
      <c r="A114" s="85"/>
      <c r="B114" s="85"/>
      <c r="C114" s="85"/>
      <c r="D114" s="85"/>
      <c r="E114" s="85"/>
      <c r="F114" s="85"/>
      <c r="G114" s="85"/>
      <c r="H114" s="85"/>
      <c r="I114" s="85"/>
      <c r="J114" s="85"/>
    </row>
    <row r="115" spans="1:10" x14ac:dyDescent="0.2">
      <c r="A115" s="85"/>
      <c r="B115" s="85"/>
      <c r="C115" s="85"/>
      <c r="D115" s="85"/>
      <c r="E115" s="85"/>
      <c r="F115" s="85"/>
      <c r="G115" s="85"/>
      <c r="H115" s="85"/>
      <c r="I115" s="85"/>
      <c r="J115" s="85"/>
    </row>
    <row r="116" spans="1:10" x14ac:dyDescent="0.2">
      <c r="A116" s="85"/>
      <c r="B116" s="85"/>
      <c r="C116" s="85"/>
      <c r="D116" s="85"/>
      <c r="E116" s="85"/>
      <c r="F116" s="85"/>
      <c r="G116" s="85"/>
      <c r="H116" s="85"/>
      <c r="I116" s="85"/>
      <c r="J116" s="85"/>
    </row>
    <row r="117" spans="1:10" x14ac:dyDescent="0.2">
      <c r="A117" s="85"/>
      <c r="B117" s="85"/>
      <c r="C117" s="85"/>
      <c r="D117" s="85"/>
      <c r="E117" s="85"/>
      <c r="F117" s="85"/>
      <c r="G117" s="85"/>
      <c r="H117" s="85"/>
      <c r="I117" s="85"/>
      <c r="J117" s="85"/>
    </row>
    <row r="118" spans="1:10" x14ac:dyDescent="0.2">
      <c r="A118" s="85"/>
      <c r="B118" s="85"/>
      <c r="C118" s="85"/>
      <c r="D118" s="85"/>
      <c r="E118" s="85"/>
      <c r="F118" s="85"/>
      <c r="G118" s="85"/>
      <c r="H118" s="85"/>
      <c r="I118" s="85"/>
      <c r="J118" s="85"/>
    </row>
    <row r="119" spans="1:10" x14ac:dyDescent="0.2">
      <c r="A119" s="85"/>
      <c r="B119" s="85"/>
      <c r="C119" s="85"/>
      <c r="D119" s="85"/>
      <c r="E119" s="85"/>
      <c r="F119" s="958" t="s">
        <v>85</v>
      </c>
      <c r="G119" s="958"/>
      <c r="H119" s="405"/>
      <c r="I119" s="85"/>
      <c r="J119" s="85"/>
    </row>
    <row r="120" spans="1:10" x14ac:dyDescent="0.2">
      <c r="A120" s="85"/>
      <c r="B120" s="85"/>
      <c r="C120" s="85"/>
      <c r="D120" s="85"/>
      <c r="E120" s="85"/>
      <c r="F120" s="959" t="s">
        <v>86</v>
      </c>
      <c r="G120" s="959"/>
      <c r="H120" s="406"/>
      <c r="I120" s="85"/>
      <c r="J120" s="85"/>
    </row>
    <row r="121" spans="1:10" ht="15" x14ac:dyDescent="0.25">
      <c r="A121" s="85"/>
      <c r="B121" s="85"/>
      <c r="C121" s="85"/>
      <c r="D121" s="85"/>
      <c r="E121" s="85"/>
      <c r="F121" s="960" t="s">
        <v>87</v>
      </c>
      <c r="G121" s="960"/>
      <c r="H121" s="132" t="e">
        <f>IF(Kurzantrag!C13&gt;0,Kurzantrag!C13,ROUND(F113*45%,2))</f>
        <v>#NUM!</v>
      </c>
      <c r="I121" s="85"/>
      <c r="J121" s="85"/>
    </row>
    <row r="122" spans="1:10" x14ac:dyDescent="0.2">
      <c r="A122" s="85"/>
      <c r="B122" s="85"/>
      <c r="C122" s="85"/>
      <c r="D122" s="85"/>
      <c r="E122" s="85"/>
      <c r="F122" s="85"/>
      <c r="G122" s="85"/>
      <c r="H122" s="85"/>
      <c r="I122" s="85"/>
      <c r="J122" s="85"/>
    </row>
    <row r="123" spans="1:10" x14ac:dyDescent="0.2">
      <c r="A123" s="127"/>
      <c r="B123" s="127"/>
      <c r="C123" s="127"/>
      <c r="D123" s="127"/>
      <c r="E123" s="127"/>
      <c r="F123" s="127"/>
      <c r="G123" s="127"/>
      <c r="H123" s="127"/>
      <c r="I123" s="127"/>
      <c r="J123" s="127"/>
    </row>
    <row r="124" spans="1:10" x14ac:dyDescent="0.2">
      <c r="A124" s="2"/>
      <c r="B124" s="2"/>
      <c r="C124" s="2"/>
      <c r="D124" s="2"/>
      <c r="E124" s="2"/>
      <c r="F124" s="2"/>
      <c r="G124" s="2"/>
      <c r="H124" s="2"/>
      <c r="I124" s="2"/>
      <c r="J124" s="2"/>
    </row>
    <row r="125" spans="1:10" x14ac:dyDescent="0.2">
      <c r="A125" s="67"/>
      <c r="B125" s="67"/>
      <c r="C125" s="67"/>
      <c r="D125" s="67"/>
      <c r="E125" s="67"/>
      <c r="F125" s="67"/>
      <c r="G125" s="67"/>
      <c r="H125" s="67"/>
      <c r="I125" s="67"/>
      <c r="J125" s="67"/>
    </row>
    <row r="126" spans="1:10" x14ac:dyDescent="0.2">
      <c r="A126" s="67"/>
      <c r="B126" s="67"/>
      <c r="C126" s="67"/>
      <c r="D126" s="67"/>
      <c r="E126" s="67"/>
      <c r="F126" s="67"/>
      <c r="G126" s="67"/>
      <c r="H126" s="67"/>
      <c r="I126" s="67"/>
      <c r="J126" s="67"/>
    </row>
    <row r="127" spans="1:10" x14ac:dyDescent="0.2">
      <c r="A127" s="67"/>
      <c r="B127" s="67"/>
      <c r="C127" s="67"/>
      <c r="D127" s="67"/>
      <c r="E127" s="67"/>
      <c r="F127" s="67"/>
      <c r="G127" s="67"/>
      <c r="H127" s="67"/>
      <c r="I127" s="67"/>
      <c r="J127" s="67"/>
    </row>
    <row r="128" spans="1:10" x14ac:dyDescent="0.2">
      <c r="A128" s="67"/>
      <c r="B128" s="67"/>
      <c r="C128" s="67"/>
      <c r="D128" s="67"/>
      <c r="E128" s="67"/>
      <c r="F128" s="67"/>
      <c r="G128" s="67"/>
      <c r="H128" s="67"/>
      <c r="I128" s="67"/>
      <c r="J128" s="67"/>
    </row>
    <row r="129" spans="1:10" x14ac:dyDescent="0.2">
      <c r="A129" s="67"/>
      <c r="B129" s="67"/>
      <c r="C129" s="67"/>
      <c r="D129" s="67"/>
      <c r="E129" s="67"/>
      <c r="F129" s="67"/>
      <c r="G129" s="67"/>
      <c r="H129" s="67"/>
      <c r="I129" s="67"/>
      <c r="J129" s="67"/>
    </row>
    <row r="130" spans="1:10" x14ac:dyDescent="0.2">
      <c r="A130" s="67"/>
      <c r="B130" s="67"/>
      <c r="C130" s="67"/>
      <c r="D130" s="67"/>
      <c r="E130" s="67"/>
      <c r="F130" s="67"/>
      <c r="G130" s="67"/>
      <c r="H130" s="67"/>
      <c r="I130" s="67"/>
      <c r="J130" s="67"/>
    </row>
    <row r="131" spans="1:10" x14ac:dyDescent="0.2">
      <c r="A131" s="64"/>
      <c r="B131" s="64"/>
      <c r="C131" s="64"/>
      <c r="D131" s="64"/>
      <c r="E131" s="64"/>
      <c r="F131" s="64"/>
      <c r="G131" s="64"/>
      <c r="H131" s="64"/>
      <c r="I131" s="64"/>
      <c r="J131" s="64"/>
    </row>
    <row r="132" spans="1:10" x14ac:dyDescent="0.2">
      <c r="A132" s="64"/>
      <c r="B132" s="64"/>
      <c r="C132" s="64"/>
      <c r="D132" s="64"/>
      <c r="E132" s="64"/>
      <c r="F132" s="64"/>
      <c r="G132" s="64"/>
      <c r="H132" s="64"/>
      <c r="I132" s="64"/>
      <c r="J132" s="64"/>
    </row>
    <row r="133" spans="1:10" x14ac:dyDescent="0.2">
      <c r="A133" s="64"/>
      <c r="B133" s="64"/>
      <c r="C133" s="64"/>
      <c r="D133" s="64"/>
      <c r="E133" s="64"/>
      <c r="F133" s="64"/>
      <c r="G133" s="64"/>
      <c r="H133" s="64"/>
      <c r="I133" s="64"/>
      <c r="J133" s="64"/>
    </row>
    <row r="134" spans="1:10" x14ac:dyDescent="0.2">
      <c r="A134" s="64"/>
      <c r="B134" s="64"/>
      <c r="C134" s="64"/>
      <c r="D134" s="64"/>
      <c r="E134" s="64"/>
      <c r="F134" s="64"/>
      <c r="G134" s="64"/>
      <c r="H134" s="64"/>
      <c r="I134" s="64"/>
      <c r="J134" s="64"/>
    </row>
    <row r="135" spans="1:10" x14ac:dyDescent="0.2">
      <c r="A135" s="64"/>
      <c r="B135" s="64"/>
      <c r="C135" s="64"/>
      <c r="D135" s="64"/>
      <c r="E135" s="64"/>
      <c r="F135" s="64"/>
      <c r="G135" s="64"/>
      <c r="H135" s="64"/>
      <c r="I135" s="64"/>
      <c r="J135" s="64"/>
    </row>
    <row r="136" spans="1:10" x14ac:dyDescent="0.2">
      <c r="A136" s="64"/>
      <c r="B136" s="64"/>
      <c r="C136" s="64"/>
      <c r="D136" s="64"/>
      <c r="E136" s="64"/>
      <c r="F136" s="64"/>
      <c r="G136" s="64"/>
      <c r="H136" s="64"/>
      <c r="I136" s="64"/>
      <c r="J136" s="64"/>
    </row>
    <row r="137" spans="1:10" x14ac:dyDescent="0.2">
      <c r="A137" s="64"/>
      <c r="B137" s="64"/>
      <c r="C137" s="64"/>
      <c r="D137" s="64"/>
      <c r="E137" s="64"/>
      <c r="F137" s="64"/>
      <c r="G137" s="64"/>
      <c r="H137" s="64"/>
      <c r="I137" s="64"/>
      <c r="J137" s="64"/>
    </row>
    <row r="138" spans="1:10" x14ac:dyDescent="0.2">
      <c r="A138" s="64"/>
      <c r="B138" s="64"/>
      <c r="C138" s="64"/>
      <c r="D138" s="64"/>
      <c r="E138" s="64"/>
      <c r="F138" s="64"/>
      <c r="G138" s="64"/>
      <c r="H138" s="64"/>
      <c r="I138" s="64"/>
      <c r="J138" s="64"/>
    </row>
    <row r="139" spans="1:10" x14ac:dyDescent="0.2">
      <c r="A139" s="64"/>
      <c r="B139" s="64"/>
      <c r="C139" s="64"/>
      <c r="D139" s="64"/>
      <c r="E139" s="64"/>
      <c r="F139" s="64"/>
      <c r="G139" s="64"/>
      <c r="H139" s="64"/>
      <c r="I139" s="64"/>
      <c r="J139" s="64"/>
    </row>
    <row r="140" spans="1:10" x14ac:dyDescent="0.2">
      <c r="A140" s="64"/>
      <c r="B140" s="64"/>
      <c r="C140" s="64"/>
      <c r="D140" s="64"/>
      <c r="E140" s="64"/>
      <c r="F140" s="64"/>
      <c r="G140" s="64"/>
      <c r="H140" s="64"/>
      <c r="I140" s="64"/>
      <c r="J140" s="64"/>
    </row>
    <row r="141" spans="1:10" x14ac:dyDescent="0.2">
      <c r="A141" s="64"/>
      <c r="B141" s="64"/>
      <c r="C141" s="64"/>
      <c r="D141" s="64"/>
      <c r="E141" s="64"/>
      <c r="F141" s="64"/>
      <c r="G141" s="64"/>
      <c r="H141" s="64"/>
      <c r="I141" s="64"/>
      <c r="J141" s="64"/>
    </row>
  </sheetData>
  <sheetProtection algorithmName="SHA-512" hashValue="qfPaupnQSv5AeRv6lQUKipERxAkrpWL2Ge4YIm9gXsnnRh/0yrHpEcWyUVlX9fntmq4lYHB9GHibZRdM18pKiA==" saltValue="EGp/bLiVW5riKf7R6jLogg==" spinCount="100000" sheet="1" formatCells="0" formatColumns="0" formatRows="0" insertColumns="0" insertRows="0" insertHyperlinks="0" deleteColumns="0" deleteRows="0" sort="0" pivotTables="0"/>
  <mergeCells count="84">
    <mergeCell ref="A98:B98"/>
    <mergeCell ref="J76:J77"/>
    <mergeCell ref="J78:J79"/>
    <mergeCell ref="I80:J80"/>
    <mergeCell ref="A20:B20"/>
    <mergeCell ref="A38:B38"/>
    <mergeCell ref="A27:B27"/>
    <mergeCell ref="A26:B26"/>
    <mergeCell ref="A25:B25"/>
    <mergeCell ref="B32:C32"/>
    <mergeCell ref="B31:C31"/>
    <mergeCell ref="B30:C30"/>
    <mergeCell ref="A50:B50"/>
    <mergeCell ref="A76:B76"/>
    <mergeCell ref="A21:B21"/>
    <mergeCell ref="A22:B22"/>
    <mergeCell ref="C1:H1"/>
    <mergeCell ref="A8:B8"/>
    <mergeCell ref="A13:B13"/>
    <mergeCell ref="A18:B18"/>
    <mergeCell ref="A24:B24"/>
    <mergeCell ref="A3:B3"/>
    <mergeCell ref="A4:B4"/>
    <mergeCell ref="A5:B5"/>
    <mergeCell ref="A6:B6"/>
    <mergeCell ref="A9:B9"/>
    <mergeCell ref="A10:B10"/>
    <mergeCell ref="A11:B11"/>
    <mergeCell ref="A14:B14"/>
    <mergeCell ref="A15:B15"/>
    <mergeCell ref="A16:B16"/>
    <mergeCell ref="F121:G121"/>
    <mergeCell ref="A79:B79"/>
    <mergeCell ref="A82:B82"/>
    <mergeCell ref="A90:B90"/>
    <mergeCell ref="A95:B95"/>
    <mergeCell ref="A101:B101"/>
    <mergeCell ref="A85:B85"/>
    <mergeCell ref="A86:B86"/>
    <mergeCell ref="A87:B87"/>
    <mergeCell ref="A88:B88"/>
    <mergeCell ref="A89:B89"/>
    <mergeCell ref="A91:B91"/>
    <mergeCell ref="A92:B92"/>
    <mergeCell ref="A93:B93"/>
    <mergeCell ref="A94:B94"/>
    <mergeCell ref="F120:G120"/>
    <mergeCell ref="A39:B39"/>
    <mergeCell ref="A57:B57"/>
    <mergeCell ref="A37:B37"/>
    <mergeCell ref="A41:B41"/>
    <mergeCell ref="A42:B42"/>
    <mergeCell ref="A43:B43"/>
    <mergeCell ref="A44:B44"/>
    <mergeCell ref="A45:B45"/>
    <mergeCell ref="A46:B46"/>
    <mergeCell ref="A47:B47"/>
    <mergeCell ref="A48:B48"/>
    <mergeCell ref="A49:B49"/>
    <mergeCell ref="A51:B51"/>
    <mergeCell ref="A52:B52"/>
    <mergeCell ref="A53:B53"/>
    <mergeCell ref="A56:B56"/>
    <mergeCell ref="F119:G119"/>
    <mergeCell ref="A81:B81"/>
    <mergeCell ref="A83:B83"/>
    <mergeCell ref="A60:B60"/>
    <mergeCell ref="C72:H72"/>
    <mergeCell ref="A73:B73"/>
    <mergeCell ref="A77:B77"/>
    <mergeCell ref="B112:D112"/>
    <mergeCell ref="A99:B99"/>
    <mergeCell ref="A100:B100"/>
    <mergeCell ref="A104:B104"/>
    <mergeCell ref="A105:B105"/>
    <mergeCell ref="A106:B106"/>
    <mergeCell ref="B110:D110"/>
    <mergeCell ref="B111:D111"/>
    <mergeCell ref="A97:B97"/>
    <mergeCell ref="A58:B58"/>
    <mergeCell ref="A59:B59"/>
    <mergeCell ref="A74:B74"/>
    <mergeCell ref="A75:B75"/>
    <mergeCell ref="A80:B80"/>
  </mergeCells>
  <dataValidations count="3">
    <dataValidation type="list" allowBlank="1" showInputMessage="1" showErrorMessage="1" sqref="C74:H74" xr:uid="{00000000-0002-0000-0700-000000000000}">
      <formula1>".,ja,nein"</formula1>
    </dataValidation>
    <dataValidation type="decimal" allowBlank="1" showInputMessage="1" showErrorMessage="1" error="Der eingegebene Wert ist unzulässig. Bitte geben Sie eine Zahl ein, die größer 0 ist." sqref="C3:H6 C8:H11 C13:H16 C90:H95 C24:H27 C38:H39 C41:H41 C43:H45 C47:H49 C52:H53 C57:H59 C75:H77 C79:H82 C86:H88 C18:H22" xr:uid="{00000000-0002-0000-0700-000001000000}">
      <formula1>0</formula1>
      <formula2>1000000</formula2>
    </dataValidation>
    <dataValidation allowBlank="1" showInputMessage="1" showErrorMessage="1" prompt="Bitte geben Sie das Datum im Format Monat Jahr ein (z.B. Beginn August 2012 = Aug 12)." sqref="J76:J79" xr:uid="{00000000-0002-0000-0700-000002000000}"/>
  </dataValidations>
  <pageMargins left="0.70866141732283472" right="0.70866141732283472" top="0.8666666666666667" bottom="0.78740157480314965" header="0.31496062992125984" footer="0.31496062992125984"/>
  <pageSetup paperSize="9" scale="96" orientation="landscape" r:id="rId1"/>
  <headerFooter>
    <oddHeader>&amp;L&amp;"Arial,Fett"&amp;U4. Ermittlung des anzurechnenden Einkommens des Kindes / der Kinder:
4.1. Einkommensermittlung Kind 2:&amp;R&amp;D</oddHeader>
    <oddFooter>&amp;R&amp;P</oddFooter>
  </headerFooter>
  <rowBreaks count="3" manualBreakCount="3">
    <brk id="31" max="16383" man="1"/>
    <brk id="67" max="16383" man="1"/>
    <brk id="103"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J131"/>
  <sheetViews>
    <sheetView showGridLines="0" zoomScaleNormal="100" workbookViewId="0">
      <selection activeCell="C18" sqref="C18"/>
    </sheetView>
  </sheetViews>
  <sheetFormatPr baseColWidth="10" defaultRowHeight="14.25" x14ac:dyDescent="0.2"/>
  <cols>
    <col min="1" max="16384" width="11" style="1"/>
  </cols>
  <sheetData>
    <row r="1" spans="1:10" ht="15" x14ac:dyDescent="0.25">
      <c r="A1" s="313"/>
      <c r="B1" s="240"/>
      <c r="C1" s="914" t="s">
        <v>251</v>
      </c>
      <c r="D1" s="914"/>
      <c r="E1" s="914"/>
      <c r="F1" s="914"/>
      <c r="G1" s="914"/>
      <c r="H1" s="914"/>
      <c r="I1" s="239"/>
      <c r="J1" s="239"/>
    </row>
    <row r="2" spans="1:10" ht="15" x14ac:dyDescent="0.25">
      <c r="A2" s="407" t="s">
        <v>29</v>
      </c>
      <c r="B2" s="408"/>
      <c r="C2" s="255" t="e">
        <f>EDATE(BG!D2,-6)</f>
        <v>#NUM!</v>
      </c>
      <c r="D2" s="255" t="e">
        <f>EDATE(BG!D2,-5)</f>
        <v>#NUM!</v>
      </c>
      <c r="E2" s="255" t="e">
        <f>EDATE(BG!D2,-4)</f>
        <v>#NUM!</v>
      </c>
      <c r="F2" s="255" t="e">
        <f>EDATE(BG!D2,-3)</f>
        <v>#NUM!</v>
      </c>
      <c r="G2" s="255" t="e">
        <f>EDATE(BG!D2,-2)</f>
        <v>#NUM!</v>
      </c>
      <c r="H2" s="255" t="e">
        <f>EDATE(BG!D2,-1)</f>
        <v>#NUM!</v>
      </c>
      <c r="I2" s="292"/>
      <c r="J2" s="292"/>
    </row>
    <row r="3" spans="1:10" x14ac:dyDescent="0.2">
      <c r="A3" s="892" t="s">
        <v>66</v>
      </c>
      <c r="B3" s="893"/>
      <c r="C3" s="297"/>
      <c r="D3" s="297"/>
      <c r="E3" s="297"/>
      <c r="F3" s="297"/>
      <c r="G3" s="297"/>
      <c r="H3" s="297"/>
      <c r="I3" s="294"/>
      <c r="J3" s="294"/>
    </row>
    <row r="4" spans="1:10" x14ac:dyDescent="0.2">
      <c r="A4" s="886" t="s">
        <v>38</v>
      </c>
      <c r="B4" s="887"/>
      <c r="C4" s="298"/>
      <c r="D4" s="298"/>
      <c r="E4" s="298"/>
      <c r="F4" s="298"/>
      <c r="G4" s="298"/>
      <c r="H4" s="298"/>
      <c r="I4" s="294"/>
      <c r="J4" s="294"/>
    </row>
    <row r="5" spans="1:10" x14ac:dyDescent="0.2">
      <c r="A5" s="888" t="s">
        <v>67</v>
      </c>
      <c r="B5" s="889"/>
      <c r="C5" s="317"/>
      <c r="D5" s="317"/>
      <c r="E5" s="317"/>
      <c r="F5" s="317"/>
      <c r="G5" s="317"/>
      <c r="H5" s="317"/>
      <c r="I5" s="294"/>
      <c r="J5" s="294"/>
    </row>
    <row r="6" spans="1:10" x14ac:dyDescent="0.2">
      <c r="A6" s="912" t="s">
        <v>68</v>
      </c>
      <c r="B6" s="913"/>
      <c r="C6" s="318"/>
      <c r="D6" s="318"/>
      <c r="E6" s="318"/>
      <c r="F6" s="318"/>
      <c r="G6" s="318"/>
      <c r="H6" s="318"/>
      <c r="I6" s="294"/>
      <c r="J6" s="294"/>
    </row>
    <row r="7" spans="1:10" x14ac:dyDescent="0.2">
      <c r="A7" s="319"/>
      <c r="B7" s="319"/>
      <c r="C7" s="143">
        <f t="shared" ref="C7:H7" si="0">IF((C3+C4)=0,0,IF(AND((C3-C5)&gt;=0,(C4-C6)&gt;=0),(C3+C4-C5-C6),IF(AND((C3-C5)&gt;0,(C4-C6)&lt;0),(C3-C5),IF(AND((C3-C5)&lt;0,(C4-C6)&gt;0),(C4-C6),IF((C3-C5)&gt;0,(C3-C5),IF((C3-C5)&lt;0,0))))))</f>
        <v>0</v>
      </c>
      <c r="D7" s="143">
        <f t="shared" si="0"/>
        <v>0</v>
      </c>
      <c r="E7" s="143">
        <f t="shared" si="0"/>
        <v>0</v>
      </c>
      <c r="F7" s="143">
        <f t="shared" si="0"/>
        <v>0</v>
      </c>
      <c r="G7" s="143">
        <f t="shared" si="0"/>
        <v>0</v>
      </c>
      <c r="H7" s="143">
        <f t="shared" si="0"/>
        <v>0</v>
      </c>
      <c r="I7" s="240"/>
      <c r="J7" s="240"/>
    </row>
    <row r="8" spans="1:10" x14ac:dyDescent="0.2">
      <c r="A8" s="933" t="s">
        <v>69</v>
      </c>
      <c r="B8" s="934"/>
      <c r="C8" s="297"/>
      <c r="D8" s="297"/>
      <c r="E8" s="297"/>
      <c r="F8" s="297"/>
      <c r="G8" s="297"/>
      <c r="H8" s="297"/>
      <c r="I8" s="294"/>
      <c r="J8" s="294"/>
    </row>
    <row r="9" spans="1:10" x14ac:dyDescent="0.2">
      <c r="A9" s="935" t="s">
        <v>38</v>
      </c>
      <c r="B9" s="936"/>
      <c r="C9" s="298"/>
      <c r="D9" s="298"/>
      <c r="E9" s="298"/>
      <c r="F9" s="298"/>
      <c r="G9" s="298"/>
      <c r="H9" s="298"/>
      <c r="I9" s="294"/>
      <c r="J9" s="294"/>
    </row>
    <row r="10" spans="1:10" x14ac:dyDescent="0.2">
      <c r="A10" s="888" t="s">
        <v>67</v>
      </c>
      <c r="B10" s="889"/>
      <c r="C10" s="297"/>
      <c r="D10" s="297"/>
      <c r="E10" s="297"/>
      <c r="F10" s="297"/>
      <c r="G10" s="297"/>
      <c r="H10" s="297"/>
      <c r="I10" s="294"/>
      <c r="J10" s="294"/>
    </row>
    <row r="11" spans="1:10" x14ac:dyDescent="0.2">
      <c r="A11" s="912" t="s">
        <v>68</v>
      </c>
      <c r="B11" s="913"/>
      <c r="C11" s="318"/>
      <c r="D11" s="318"/>
      <c r="E11" s="318"/>
      <c r="F11" s="318"/>
      <c r="G11" s="318"/>
      <c r="H11" s="318"/>
      <c r="I11" s="294"/>
      <c r="J11" s="294"/>
    </row>
    <row r="12" spans="1:10" x14ac:dyDescent="0.2">
      <c r="A12" s="321"/>
      <c r="B12" s="321"/>
      <c r="C12" s="143">
        <f t="shared" ref="C12:H12" si="1">IF((C8+C9)=0,0,IF(AND((C8-C10)&gt;=0,(C9-C11)&gt;=0),(C8+C9-C10-C11),IF(AND((C8-C10)&gt;0,(C9-C11)&lt;0),(C8-C10),IF(AND((C8-C10)&lt;0,(C9-C11)&gt;0),(C9-C11),IF((C8-C10)&gt;0,(C8-C10),IF((C8-C10)&lt;0,0))))))</f>
        <v>0</v>
      </c>
      <c r="D12" s="143">
        <f t="shared" si="1"/>
        <v>0</v>
      </c>
      <c r="E12" s="143">
        <f t="shared" si="1"/>
        <v>0</v>
      </c>
      <c r="F12" s="143">
        <f t="shared" si="1"/>
        <v>0</v>
      </c>
      <c r="G12" s="143">
        <f t="shared" si="1"/>
        <v>0</v>
      </c>
      <c r="H12" s="143">
        <f t="shared" si="1"/>
        <v>0</v>
      </c>
      <c r="I12" s="240"/>
      <c r="J12" s="240"/>
    </row>
    <row r="13" spans="1:10" x14ac:dyDescent="0.2">
      <c r="A13" s="892" t="s">
        <v>70</v>
      </c>
      <c r="B13" s="893"/>
      <c r="C13" s="297"/>
      <c r="D13" s="297"/>
      <c r="E13" s="297"/>
      <c r="F13" s="297"/>
      <c r="G13" s="297"/>
      <c r="H13" s="297"/>
      <c r="I13" s="294"/>
      <c r="J13" s="294"/>
    </row>
    <row r="14" spans="1:10" x14ac:dyDescent="0.2">
      <c r="A14" s="886" t="s">
        <v>38</v>
      </c>
      <c r="B14" s="887"/>
      <c r="C14" s="298"/>
      <c r="D14" s="298"/>
      <c r="E14" s="298"/>
      <c r="F14" s="298"/>
      <c r="G14" s="298"/>
      <c r="H14" s="298"/>
      <c r="I14" s="294"/>
      <c r="J14" s="294"/>
    </row>
    <row r="15" spans="1:10" x14ac:dyDescent="0.2">
      <c r="A15" s="888" t="s">
        <v>67</v>
      </c>
      <c r="B15" s="889"/>
      <c r="C15" s="323"/>
      <c r="D15" s="297"/>
      <c r="E15" s="297"/>
      <c r="F15" s="297"/>
      <c r="G15" s="297"/>
      <c r="H15" s="297"/>
      <c r="I15" s="294"/>
      <c r="J15" s="294"/>
    </row>
    <row r="16" spans="1:10" x14ac:dyDescent="0.2">
      <c r="A16" s="912" t="s">
        <v>68</v>
      </c>
      <c r="B16" s="913"/>
      <c r="C16" s="324"/>
      <c r="D16" s="325"/>
      <c r="E16" s="325"/>
      <c r="F16" s="325"/>
      <c r="G16" s="325"/>
      <c r="H16" s="325"/>
      <c r="I16" s="294"/>
      <c r="J16" s="294"/>
    </row>
    <row r="17" spans="1:10" x14ac:dyDescent="0.2">
      <c r="A17" s="321"/>
      <c r="B17" s="321"/>
      <c r="C17" s="143">
        <f t="shared" ref="C17:H17" si="2">IF((C13+C14)=0,0,IF(AND((C13-C15)&gt;=0,(C14-C16)&gt;=0),(C13+C14-C15-C16),IF(AND((C13-C15)&gt;0,(C14-C16)&lt;0),(C13-C15),IF(AND((C13-C15)&lt;0,(C14-C16)&gt;0),(C14-C16),IF((C13-C15)&gt;0,(C13-C15),IF((C13-C15)&lt;0,0))))))</f>
        <v>0</v>
      </c>
      <c r="D17" s="143">
        <f t="shared" si="2"/>
        <v>0</v>
      </c>
      <c r="E17" s="143">
        <f t="shared" si="2"/>
        <v>0</v>
      </c>
      <c r="F17" s="143">
        <f t="shared" si="2"/>
        <v>0</v>
      </c>
      <c r="G17" s="143">
        <f t="shared" si="2"/>
        <v>0</v>
      </c>
      <c r="H17" s="143">
        <f t="shared" si="2"/>
        <v>0</v>
      </c>
      <c r="I17" s="240"/>
      <c r="J17" s="240"/>
    </row>
    <row r="18" spans="1:10" x14ac:dyDescent="0.2">
      <c r="A18" s="892" t="s">
        <v>516</v>
      </c>
      <c r="B18" s="893"/>
      <c r="C18" s="328"/>
      <c r="D18" s="328"/>
      <c r="E18" s="328"/>
      <c r="F18" s="328"/>
      <c r="G18" s="328"/>
      <c r="H18" s="328"/>
      <c r="I18" s="294"/>
      <c r="J18" s="294"/>
    </row>
    <row r="19" spans="1:10" x14ac:dyDescent="0.2">
      <c r="A19" s="607"/>
      <c r="B19" s="608" t="s">
        <v>517</v>
      </c>
      <c r="C19" s="609"/>
      <c r="D19" s="328"/>
      <c r="E19" s="328"/>
      <c r="F19" s="328"/>
      <c r="G19" s="328"/>
      <c r="H19" s="328"/>
      <c r="I19" s="294"/>
      <c r="J19" s="294"/>
    </row>
    <row r="20" spans="1:10" x14ac:dyDescent="0.2">
      <c r="A20" s="886" t="s">
        <v>515</v>
      </c>
      <c r="B20" s="887"/>
      <c r="C20" s="362"/>
      <c r="D20" s="362"/>
      <c r="E20" s="362"/>
      <c r="F20" s="362"/>
      <c r="G20" s="362"/>
      <c r="H20" s="362"/>
      <c r="I20" s="294"/>
      <c r="J20" s="294"/>
    </row>
    <row r="21" spans="1:10" x14ac:dyDescent="0.2">
      <c r="A21" s="888" t="s">
        <v>67</v>
      </c>
      <c r="B21" s="889"/>
      <c r="C21" s="323"/>
      <c r="D21" s="328"/>
      <c r="E21" s="328"/>
      <c r="F21" s="328"/>
      <c r="G21" s="328"/>
      <c r="H21" s="328"/>
      <c r="I21" s="294"/>
      <c r="J21" s="294"/>
    </row>
    <row r="22" spans="1:10" x14ac:dyDescent="0.2">
      <c r="A22" s="912" t="s">
        <v>68</v>
      </c>
      <c r="B22" s="913"/>
      <c r="C22" s="329"/>
      <c r="D22" s="318"/>
      <c r="E22" s="318"/>
      <c r="F22" s="318"/>
      <c r="G22" s="318"/>
      <c r="H22" s="318"/>
      <c r="I22" s="294"/>
      <c r="J22" s="294"/>
    </row>
    <row r="23" spans="1:10" s="614" customFormat="1" x14ac:dyDescent="0.2">
      <c r="A23" s="615"/>
      <c r="B23" s="615"/>
      <c r="C23" s="143">
        <f>IF((C18+C19+C20)=0,0,IF(AND((C18+C19-C21)&gt;=0,(C20-C22)&gt;=0),(C18+C19+C20-C21-C22),IF(AND((C18+C19-C21)&gt;0,(C20-C22)&lt;0),(C18+C19-C21),IF(AND((C18+C19-C21)&lt;0,(C20-C22)&gt;0),(C20-C22),IF((C18+C19-C21)&gt;0,(C18+C19-C21),IF((C18+C19-C21)&lt;0,0))))))</f>
        <v>0</v>
      </c>
      <c r="D23" s="143">
        <f t="shared" ref="D23:H23" si="3">IF((D18+D19+D20)=0,0,IF(AND((D18+D19-D21)&gt;=0,(D20-D22)&gt;=0),(D18+D19+D20-D21-D22),IF(AND((D18+D19-D21)&gt;0,(D20-D22)&lt;0),(D18+D19-D21),IF(AND((D18+D19-D21)&lt;0,(D20-D22)&gt;0),(D20-D22),IF((D18+D19-D21)&gt;0,(D18+D19-D21),IF((D18+D19-D21)&lt;0,0))))))</f>
        <v>0</v>
      </c>
      <c r="E23" s="143">
        <f t="shared" si="3"/>
        <v>0</v>
      </c>
      <c r="F23" s="143">
        <f t="shared" si="3"/>
        <v>0</v>
      </c>
      <c r="G23" s="143">
        <f t="shared" si="3"/>
        <v>0</v>
      </c>
      <c r="H23" s="143">
        <f t="shared" si="3"/>
        <v>0</v>
      </c>
      <c r="I23" s="81"/>
      <c r="J23" s="81"/>
    </row>
    <row r="24" spans="1:10" x14ac:dyDescent="0.2">
      <c r="A24" s="892" t="s">
        <v>71</v>
      </c>
      <c r="B24" s="893"/>
      <c r="C24" s="297"/>
      <c r="D24" s="297"/>
      <c r="E24" s="297"/>
      <c r="F24" s="297"/>
      <c r="G24" s="297"/>
      <c r="H24" s="297"/>
      <c r="I24" s="294"/>
      <c r="J24" s="294"/>
    </row>
    <row r="25" spans="1:10" x14ac:dyDescent="0.2">
      <c r="A25" s="886" t="s">
        <v>38</v>
      </c>
      <c r="B25" s="887"/>
      <c r="C25" s="298"/>
      <c r="D25" s="298"/>
      <c r="E25" s="298"/>
      <c r="F25" s="298"/>
      <c r="G25" s="298"/>
      <c r="H25" s="298"/>
      <c r="I25" s="294"/>
      <c r="J25" s="294"/>
    </row>
    <row r="26" spans="1:10" x14ac:dyDescent="0.2">
      <c r="A26" s="888" t="s">
        <v>67</v>
      </c>
      <c r="B26" s="889"/>
      <c r="C26" s="323"/>
      <c r="D26" s="297"/>
      <c r="E26" s="297"/>
      <c r="F26" s="297"/>
      <c r="G26" s="297"/>
      <c r="H26" s="297"/>
      <c r="I26" s="294"/>
      <c r="J26" s="294"/>
    </row>
    <row r="27" spans="1:10" x14ac:dyDescent="0.2">
      <c r="A27" s="890" t="s">
        <v>68</v>
      </c>
      <c r="B27" s="891"/>
      <c r="C27" s="329"/>
      <c r="D27" s="318"/>
      <c r="E27" s="318"/>
      <c r="F27" s="318"/>
      <c r="G27" s="318"/>
      <c r="H27" s="318"/>
      <c r="I27" s="294"/>
      <c r="J27" s="294"/>
    </row>
    <row r="28" spans="1:10" x14ac:dyDescent="0.2">
      <c r="A28" s="331"/>
      <c r="B28" s="330"/>
      <c r="C28" s="144">
        <f t="shared" ref="C28:H28" si="4">IF((C24+C25)=0,0,IF(AND((C24-C26)&gt;=0,(C25-C27)&gt;=0),(C24+C25-C26-C27),IF(AND((C24-C26)&gt;0,(C25-C27)&lt;0),(C24-C26),IF(AND((C24-C26)&lt;0,(C25-C27)&gt;0),(C25-C27),IF((C24-C26)&gt;0,(C24-C26),IF((C24-C26)&lt;0,0))))))</f>
        <v>0</v>
      </c>
      <c r="D28" s="144">
        <f t="shared" si="4"/>
        <v>0</v>
      </c>
      <c r="E28" s="144">
        <f t="shared" si="4"/>
        <v>0</v>
      </c>
      <c r="F28" s="144">
        <f t="shared" si="4"/>
        <v>0</v>
      </c>
      <c r="G28" s="144">
        <f t="shared" si="4"/>
        <v>0</v>
      </c>
      <c r="H28" s="144">
        <f t="shared" si="4"/>
        <v>0</v>
      </c>
      <c r="I28" s="239"/>
      <c r="J28" s="239"/>
    </row>
    <row r="29" spans="1:10" s="614" customFormat="1" x14ac:dyDescent="0.2">
      <c r="A29" s="84"/>
      <c r="B29" s="616"/>
      <c r="C29" s="616">
        <f>IF(AND(C18&gt;0,AS!C53&gt;0),C18,0)</f>
        <v>0</v>
      </c>
      <c r="D29" s="616">
        <f>IF(AND(D18&gt;0,AS!D53&gt;0),D18,0)</f>
        <v>0</v>
      </c>
      <c r="E29" s="616">
        <f>IF(AND(E18&gt;0,AS!E53&gt;0),E18,0)</f>
        <v>0</v>
      </c>
      <c r="F29" s="616">
        <f>IF(AND(F18&gt;0,AS!F53&gt;0),F18,0)</f>
        <v>0</v>
      </c>
      <c r="G29" s="616">
        <f>IF(AND(G18&gt;0,AS!G53&gt;0),G18,0)</f>
        <v>0</v>
      </c>
      <c r="H29" s="616">
        <f>IF(AND(H18&gt;0,AS!H53&gt;0),H18,0)</f>
        <v>0</v>
      </c>
      <c r="I29" s="617"/>
      <c r="J29" s="613"/>
    </row>
    <row r="30" spans="1:10" x14ac:dyDescent="0.2">
      <c r="A30" s="239"/>
      <c r="B30" s="1044"/>
      <c r="C30" s="1044"/>
      <c r="D30" s="409"/>
      <c r="E30" s="409"/>
      <c r="F30" s="409"/>
      <c r="G30" s="409"/>
      <c r="H30" s="409"/>
      <c r="I30" s="409"/>
      <c r="J30" s="239"/>
    </row>
    <row r="31" spans="1:10" x14ac:dyDescent="0.2">
      <c r="A31" s="239"/>
      <c r="B31" s="1045"/>
      <c r="C31" s="1045"/>
      <c r="D31" s="334"/>
      <c r="E31" s="334"/>
      <c r="F31" s="334"/>
      <c r="G31" s="334"/>
      <c r="H31" s="334"/>
      <c r="I31" s="334"/>
      <c r="J31" s="239"/>
    </row>
    <row r="32" spans="1:10" x14ac:dyDescent="0.2">
      <c r="A32" s="239"/>
      <c r="B32" s="1045"/>
      <c r="C32" s="1045"/>
      <c r="D32" s="334"/>
      <c r="E32" s="334"/>
      <c r="F32" s="334"/>
      <c r="G32" s="334"/>
      <c r="H32" s="334"/>
      <c r="I32" s="334"/>
      <c r="J32" s="239"/>
    </row>
    <row r="33" spans="1:10" x14ac:dyDescent="0.2">
      <c r="A33" s="239"/>
      <c r="B33" s="332"/>
      <c r="C33" s="332"/>
      <c r="D33" s="334"/>
      <c r="E33" s="334"/>
      <c r="F33" s="334"/>
      <c r="G33" s="334"/>
      <c r="H33" s="334"/>
      <c r="I33" s="334"/>
      <c r="J33" s="239"/>
    </row>
    <row r="34" spans="1:10" x14ac:dyDescent="0.2">
      <c r="A34" s="239"/>
      <c r="B34" s="239"/>
      <c r="C34" s="239"/>
      <c r="D34" s="239"/>
      <c r="E34" s="239"/>
      <c r="F34" s="239"/>
      <c r="G34" s="239"/>
      <c r="H34" s="239"/>
      <c r="I34" s="239"/>
      <c r="J34" s="239"/>
    </row>
    <row r="35" spans="1:10" x14ac:dyDescent="0.2">
      <c r="A35" s="239"/>
      <c r="B35" s="239"/>
      <c r="C35" s="239"/>
      <c r="D35" s="239"/>
      <c r="E35" s="239"/>
      <c r="F35" s="239"/>
      <c r="G35" s="239"/>
      <c r="H35" s="239"/>
      <c r="I35" s="239"/>
      <c r="J35" s="239"/>
    </row>
    <row r="36" spans="1:10" x14ac:dyDescent="0.2">
      <c r="A36" s="239"/>
      <c r="B36" s="239"/>
      <c r="C36" s="239"/>
      <c r="D36" s="239"/>
      <c r="E36" s="239"/>
      <c r="F36" s="239"/>
      <c r="G36" s="239"/>
      <c r="H36" s="239"/>
      <c r="I36" s="239"/>
      <c r="J36" s="239"/>
    </row>
    <row r="37" spans="1:10" ht="15" x14ac:dyDescent="0.25">
      <c r="A37" s="931" t="s">
        <v>29</v>
      </c>
      <c r="B37" s="932"/>
      <c r="C37" s="255" t="e">
        <f>EDATE(BG!D2,-6)</f>
        <v>#NUM!</v>
      </c>
      <c r="D37" s="255" t="e">
        <f>EDATE(BG!D2,-5)</f>
        <v>#NUM!</v>
      </c>
      <c r="E37" s="255" t="e">
        <f>EDATE(BG!D2,-4)</f>
        <v>#NUM!</v>
      </c>
      <c r="F37" s="255" t="e">
        <f>EDATE(BG!D2,-3)</f>
        <v>#NUM!</v>
      </c>
      <c r="G37" s="255" t="e">
        <f>EDATE(BG!D2,-2)</f>
        <v>#NUM!</v>
      </c>
      <c r="H37" s="255" t="e">
        <f>EDATE(BG!D2,-1)</f>
        <v>#NUM!</v>
      </c>
      <c r="I37" s="292"/>
      <c r="J37" s="292"/>
    </row>
    <row r="38" spans="1:10" x14ac:dyDescent="0.2">
      <c r="A38" s="896" t="s">
        <v>73</v>
      </c>
      <c r="B38" s="897"/>
      <c r="C38" s="333"/>
      <c r="D38" s="333"/>
      <c r="E38" s="333"/>
      <c r="F38" s="333"/>
      <c r="G38" s="333"/>
      <c r="H38" s="333"/>
      <c r="I38" s="294"/>
      <c r="J38" s="294"/>
    </row>
    <row r="39" spans="1:10" x14ac:dyDescent="0.2">
      <c r="A39" s="868" t="s">
        <v>74</v>
      </c>
      <c r="B39" s="869"/>
      <c r="C39" s="333"/>
      <c r="D39" s="333"/>
      <c r="E39" s="333"/>
      <c r="F39" s="333"/>
      <c r="G39" s="333"/>
      <c r="H39" s="333"/>
      <c r="I39" s="294"/>
      <c r="J39" s="294"/>
    </row>
    <row r="40" spans="1:10" x14ac:dyDescent="0.2">
      <c r="A40" s="239"/>
      <c r="B40" s="239"/>
      <c r="C40" s="239"/>
      <c r="D40" s="239"/>
      <c r="E40" s="239"/>
      <c r="F40" s="239"/>
      <c r="G40" s="239"/>
      <c r="H40" s="239"/>
      <c r="I40" s="240"/>
      <c r="J40" s="240"/>
    </row>
    <row r="41" spans="1:10" x14ac:dyDescent="0.2">
      <c r="A41" s="1046" t="s">
        <v>252</v>
      </c>
      <c r="B41" s="1047"/>
      <c r="C41" s="363"/>
      <c r="D41" s="363"/>
      <c r="E41" s="363"/>
      <c r="F41" s="363"/>
      <c r="G41" s="363"/>
      <c r="H41" s="363"/>
      <c r="I41" s="294"/>
      <c r="J41" s="294"/>
    </row>
    <row r="42" spans="1:10" x14ac:dyDescent="0.2">
      <c r="A42" s="1042" t="s">
        <v>313</v>
      </c>
      <c r="B42" s="1043"/>
      <c r="C42" s="294"/>
      <c r="D42" s="294"/>
      <c r="E42" s="294"/>
      <c r="F42" s="294"/>
      <c r="G42" s="294"/>
      <c r="H42" s="410"/>
      <c r="I42" s="240"/>
      <c r="J42" s="240"/>
    </row>
    <row r="43" spans="1:10" x14ac:dyDescent="0.2">
      <c r="A43" s="884" t="s">
        <v>314</v>
      </c>
      <c r="B43" s="885"/>
      <c r="C43" s="336"/>
      <c r="D43" s="336"/>
      <c r="E43" s="336"/>
      <c r="F43" s="336"/>
      <c r="G43" s="336"/>
      <c r="H43" s="336"/>
      <c r="I43" s="294"/>
      <c r="J43" s="294"/>
    </row>
    <row r="44" spans="1:10" x14ac:dyDescent="0.2">
      <c r="A44" s="880" t="s">
        <v>495</v>
      </c>
      <c r="B44" s="881"/>
      <c r="C44" s="339"/>
      <c r="D44" s="339"/>
      <c r="E44" s="339"/>
      <c r="F44" s="339"/>
      <c r="G44" s="339"/>
      <c r="H44" s="339"/>
      <c r="I44" s="294"/>
      <c r="J44" s="294"/>
    </row>
    <row r="45" spans="1:10" x14ac:dyDescent="0.2">
      <c r="A45" s="882" t="s">
        <v>316</v>
      </c>
      <c r="B45" s="883"/>
      <c r="C45" s="339"/>
      <c r="D45" s="339"/>
      <c r="E45" s="339"/>
      <c r="F45" s="339"/>
      <c r="G45" s="339"/>
      <c r="H45" s="339"/>
      <c r="I45" s="294"/>
      <c r="J45" s="294"/>
    </row>
    <row r="46" spans="1:10" x14ac:dyDescent="0.2">
      <c r="A46" s="870" t="s">
        <v>317</v>
      </c>
      <c r="B46" s="871"/>
      <c r="C46" s="340" t="e">
        <f t="shared" ref="C46:H46" si="5">IF(AND(C96=0,C41&gt;0,C61&gt;17),30,0)</f>
        <v>#NUM!</v>
      </c>
      <c r="D46" s="340" t="e">
        <f t="shared" si="5"/>
        <v>#NUM!</v>
      </c>
      <c r="E46" s="340" t="e">
        <f t="shared" si="5"/>
        <v>#NUM!</v>
      </c>
      <c r="F46" s="340" t="e">
        <f t="shared" si="5"/>
        <v>#NUM!</v>
      </c>
      <c r="G46" s="340" t="e">
        <f t="shared" si="5"/>
        <v>#NUM!</v>
      </c>
      <c r="H46" s="340" t="e">
        <f t="shared" si="5"/>
        <v>#NUM!</v>
      </c>
      <c r="I46" s="240"/>
      <c r="J46" s="240"/>
    </row>
    <row r="47" spans="1:10" x14ac:dyDescent="0.2">
      <c r="A47" s="872" t="s">
        <v>58</v>
      </c>
      <c r="B47" s="872"/>
      <c r="C47" s="364"/>
      <c r="D47" s="364"/>
      <c r="E47" s="364"/>
      <c r="F47" s="364"/>
      <c r="G47" s="364"/>
      <c r="H47" s="364"/>
      <c r="I47" s="294"/>
      <c r="J47" s="294"/>
    </row>
    <row r="48" spans="1:10" x14ac:dyDescent="0.2">
      <c r="A48" s="873" t="s">
        <v>318</v>
      </c>
      <c r="B48" s="874"/>
      <c r="C48" s="336"/>
      <c r="D48" s="336"/>
      <c r="E48" s="336"/>
      <c r="F48" s="336"/>
      <c r="G48" s="336"/>
      <c r="H48" s="336"/>
      <c r="I48" s="294"/>
      <c r="J48" s="294"/>
    </row>
    <row r="49" spans="1:10" x14ac:dyDescent="0.2">
      <c r="A49" s="810" t="s">
        <v>319</v>
      </c>
      <c r="B49" s="810"/>
      <c r="C49" s="337"/>
      <c r="D49" s="337"/>
      <c r="E49" s="337"/>
      <c r="F49" s="337"/>
      <c r="G49" s="337"/>
      <c r="H49" s="337"/>
      <c r="I49" s="294"/>
      <c r="J49" s="294"/>
    </row>
    <row r="50" spans="1:10" x14ac:dyDescent="0.2">
      <c r="A50" s="810" t="s">
        <v>320</v>
      </c>
      <c r="B50" s="810"/>
      <c r="C50" s="287">
        <f t="shared" ref="C50:H50" si="6">IF(C41=ISBLANK(0),0,IF(C96&gt;0,SUM(C43:C49),IF(C96=0,IF(SUM(C43:C49)&lt;100,100,SUM(C43:C49)))))</f>
        <v>0</v>
      </c>
      <c r="D50" s="287">
        <f t="shared" si="6"/>
        <v>0</v>
      </c>
      <c r="E50" s="287">
        <f t="shared" si="6"/>
        <v>0</v>
      </c>
      <c r="F50" s="287">
        <f t="shared" si="6"/>
        <v>0</v>
      </c>
      <c r="G50" s="287">
        <f t="shared" si="6"/>
        <v>0</v>
      </c>
      <c r="H50" s="287">
        <f t="shared" si="6"/>
        <v>0</v>
      </c>
      <c r="I50" s="294"/>
      <c r="J50" s="294"/>
    </row>
    <row r="51" spans="1:10" x14ac:dyDescent="0.2">
      <c r="A51" s="810" t="s">
        <v>322</v>
      </c>
      <c r="B51" s="810"/>
      <c r="C51" s="287">
        <f t="shared" ref="C51:H51" si="7">IF(C41-C50&lt;0,0,C41-C50)</f>
        <v>0</v>
      </c>
      <c r="D51" s="287">
        <f t="shared" si="7"/>
        <v>0</v>
      </c>
      <c r="E51" s="287">
        <f t="shared" si="7"/>
        <v>0</v>
      </c>
      <c r="F51" s="287">
        <f t="shared" si="7"/>
        <v>0</v>
      </c>
      <c r="G51" s="287">
        <f t="shared" si="7"/>
        <v>0</v>
      </c>
      <c r="H51" s="287">
        <f t="shared" si="7"/>
        <v>0</v>
      </c>
      <c r="I51" s="240"/>
      <c r="J51" s="240"/>
    </row>
    <row r="52" spans="1:10" x14ac:dyDescent="0.2">
      <c r="A52" s="866" t="s">
        <v>321</v>
      </c>
      <c r="B52" s="867"/>
      <c r="C52" s="365"/>
      <c r="D52" s="365"/>
      <c r="E52" s="365"/>
      <c r="F52" s="365"/>
      <c r="G52" s="365"/>
      <c r="H52" s="365"/>
      <c r="I52" s="294"/>
      <c r="J52" s="294"/>
    </row>
    <row r="53" spans="1:10" x14ac:dyDescent="0.2">
      <c r="A53" s="868" t="s">
        <v>68</v>
      </c>
      <c r="B53" s="869"/>
      <c r="C53" s="333"/>
      <c r="D53" s="333"/>
      <c r="E53" s="333"/>
      <c r="F53" s="333"/>
      <c r="G53" s="333"/>
      <c r="H53" s="333"/>
      <c r="I53" s="294"/>
      <c r="J53" s="294"/>
    </row>
    <row r="54" spans="1:10" x14ac:dyDescent="0.2">
      <c r="A54" s="239"/>
      <c r="B54" s="239"/>
      <c r="C54" s="93">
        <f t="shared" ref="C54:H54" si="8">IF((C52-C53)&lt;0,0,(C52-C53))</f>
        <v>0</v>
      </c>
      <c r="D54" s="93">
        <f t="shared" si="8"/>
        <v>0</v>
      </c>
      <c r="E54" s="93">
        <f t="shared" si="8"/>
        <v>0</v>
      </c>
      <c r="F54" s="93">
        <f t="shared" si="8"/>
        <v>0</v>
      </c>
      <c r="G54" s="93">
        <f t="shared" si="8"/>
        <v>0</v>
      </c>
      <c r="H54" s="93">
        <f t="shared" si="8"/>
        <v>0</v>
      </c>
      <c r="I54" s="240"/>
      <c r="J54" s="240"/>
    </row>
    <row r="55" spans="1:10" x14ac:dyDescent="0.2">
      <c r="A55" s="239"/>
      <c r="B55" s="239"/>
      <c r="C55" s="93">
        <f t="shared" ref="C55:H55" si="9">IF(C38-C39&lt;0,0,C38-C39)</f>
        <v>0</v>
      </c>
      <c r="D55" s="93">
        <f t="shared" si="9"/>
        <v>0</v>
      </c>
      <c r="E55" s="93">
        <f t="shared" si="9"/>
        <v>0</v>
      </c>
      <c r="F55" s="93">
        <f t="shared" si="9"/>
        <v>0</v>
      </c>
      <c r="G55" s="93">
        <f t="shared" si="9"/>
        <v>0</v>
      </c>
      <c r="H55" s="93">
        <f t="shared" si="9"/>
        <v>0</v>
      </c>
      <c r="I55" s="240"/>
      <c r="J55" s="240"/>
    </row>
    <row r="56" spans="1:10" ht="15" x14ac:dyDescent="0.25">
      <c r="A56" s="902" t="s">
        <v>75</v>
      </c>
      <c r="B56" s="902"/>
      <c r="C56" s="342" t="s">
        <v>323</v>
      </c>
      <c r="D56" s="309"/>
      <c r="E56" s="309"/>
      <c r="F56" s="309"/>
      <c r="G56" s="309"/>
      <c r="H56" s="309"/>
      <c r="I56" s="240"/>
      <c r="J56" s="240"/>
    </row>
    <row r="57" spans="1:10" x14ac:dyDescent="0.2">
      <c r="A57" s="903" t="s">
        <v>56</v>
      </c>
      <c r="B57" s="903"/>
      <c r="C57" s="308"/>
      <c r="D57" s="308"/>
      <c r="E57" s="308"/>
      <c r="F57" s="308"/>
      <c r="G57" s="308"/>
      <c r="H57" s="308"/>
      <c r="I57" s="294"/>
      <c r="J57" s="294"/>
    </row>
    <row r="58" spans="1:10" x14ac:dyDescent="0.2">
      <c r="A58" s="903" t="s">
        <v>57</v>
      </c>
      <c r="B58" s="903"/>
      <c r="C58" s="308"/>
      <c r="D58" s="308"/>
      <c r="E58" s="308"/>
      <c r="F58" s="308"/>
      <c r="G58" s="308"/>
      <c r="H58" s="308"/>
      <c r="I58" s="294"/>
      <c r="J58" s="294"/>
    </row>
    <row r="59" spans="1:10" x14ac:dyDescent="0.2">
      <c r="A59" s="903" t="s">
        <v>58</v>
      </c>
      <c r="B59" s="903"/>
      <c r="C59" s="308"/>
      <c r="D59" s="308"/>
      <c r="E59" s="308"/>
      <c r="F59" s="308"/>
      <c r="G59" s="308"/>
      <c r="H59" s="308"/>
      <c r="I59" s="294"/>
      <c r="J59" s="294"/>
    </row>
    <row r="60" spans="1:10" x14ac:dyDescent="0.2">
      <c r="A60" s="903" t="s">
        <v>76</v>
      </c>
      <c r="B60" s="903"/>
      <c r="C60" s="343">
        <f>IF(C61&lt;18,0,IF(C46=30,0,IF((C75+C76+H78)&gt;0,0,IF(C96=0,30,IF(C96&gt;0,0)))))</f>
        <v>0</v>
      </c>
      <c r="D60" s="343">
        <f>IF(D61&lt;18,0,IF(D46=30,0,IF((D75+D76+H78)&gt;0,0,IF(D96=0,30,IF(D96&gt;0,0)))))</f>
        <v>0</v>
      </c>
      <c r="E60" s="343">
        <f>IF(E61&lt;18,0,IF(E46=30,0,IF((E75+E76+H78)&gt;0,0,IF(E96=0,30,IF(E96&gt;0,0)))))</f>
        <v>0</v>
      </c>
      <c r="F60" s="343">
        <f>IF(F61&lt;18,0,IF(F46=30,0,IF((F75+F76+H78)&gt;0,0,IF(F96=0,30,IF(F96&gt;0,0)))))</f>
        <v>0</v>
      </c>
      <c r="G60" s="343">
        <f>IF(G61&lt;18,0,IF(G46=30,0,IF((G75+G76+H78)&gt;0,0,IF(G96=0,30,IF(G96&gt;0,0)))))</f>
        <v>0</v>
      </c>
      <c r="H60" s="343">
        <f>IF(H61&lt;18,0,IF(H46=30,0,IF((H75+H76+H78)&gt;0,0,IF(H96=0,30,IF(H96&gt;0,0)))))</f>
        <v>0</v>
      </c>
      <c r="I60" s="239"/>
      <c r="J60" s="239"/>
    </row>
    <row r="61" spans="1:10" x14ac:dyDescent="0.2">
      <c r="A61" s="239"/>
      <c r="B61" s="239"/>
      <c r="C61" s="84">
        <f>IF(BG!$C$23=ISBLANK(0),0,IF(INT((C37-BG!$C$23)/365.25)&lt;0,0,INT((C37-BG!$C$23)/365.25)))</f>
        <v>0</v>
      </c>
      <c r="D61" s="84">
        <f>IF(BG!$C$23=ISBLANK(0),0,IF(INT((D37-BG!$C$23)/365.25)&lt;0,0,INT((D37-BG!$C$23)/365.25)))</f>
        <v>0</v>
      </c>
      <c r="E61" s="84">
        <f>IF(BG!$C$23=ISBLANK(0),0,IF(INT((E37-BG!$C$23)/365.25)&lt;0,0,INT((E37-BG!$C$23)/365.25)))</f>
        <v>0</v>
      </c>
      <c r="F61" s="84">
        <f>IF(BG!$C$23=ISBLANK(0),0,IF(INT((F37-BG!$C$23)/365.25)&lt;0,0,INT((F37-BG!$C$23)/365.25)))</f>
        <v>0</v>
      </c>
      <c r="G61" s="84">
        <f>IF(BG!$C$23=ISBLANK(0),0,IF(INT((G37-BG!$C$23)/365.25)&lt;0,0,INT((G37-BG!$C$23)/365.25)))</f>
        <v>0</v>
      </c>
      <c r="H61" s="84">
        <f>IF(BG!$C$23=ISBLANK(0),0,IF(INT((H37-BG!$C$23)/365.25)&lt;0,0,INT((H37-BG!$C$23)/365.25)))</f>
        <v>0</v>
      </c>
      <c r="I61" s="239"/>
      <c r="J61" s="239"/>
    </row>
    <row r="62" spans="1:10" x14ac:dyDescent="0.2">
      <c r="A62" s="241"/>
      <c r="B62" s="344" t="s">
        <v>77</v>
      </c>
      <c r="C62" s="97">
        <f t="shared" ref="C62:H62" si="10">C7+C12+C17+C23+C28+C51+C54+C55</f>
        <v>0</v>
      </c>
      <c r="D62" s="97">
        <f t="shared" si="10"/>
        <v>0</v>
      </c>
      <c r="E62" s="97">
        <f t="shared" si="10"/>
        <v>0</v>
      </c>
      <c r="F62" s="97">
        <f t="shared" si="10"/>
        <v>0</v>
      </c>
      <c r="G62" s="97">
        <f t="shared" si="10"/>
        <v>0</v>
      </c>
      <c r="H62" s="97">
        <f t="shared" si="10"/>
        <v>0</v>
      </c>
      <c r="I62" s="258" t="s">
        <v>48</v>
      </c>
      <c r="J62" s="239"/>
    </row>
    <row r="63" spans="1:10" x14ac:dyDescent="0.2">
      <c r="A63" s="345"/>
      <c r="B63" s="346" t="s">
        <v>78</v>
      </c>
      <c r="C63" s="106">
        <f t="shared" ref="C63:H63" si="11">SUM(C57:C60)</f>
        <v>0</v>
      </c>
      <c r="D63" s="106">
        <f t="shared" si="11"/>
        <v>0</v>
      </c>
      <c r="E63" s="106">
        <f t="shared" si="11"/>
        <v>0</v>
      </c>
      <c r="F63" s="106">
        <f t="shared" si="11"/>
        <v>0</v>
      </c>
      <c r="G63" s="106">
        <f t="shared" si="11"/>
        <v>0</v>
      </c>
      <c r="H63" s="106">
        <f t="shared" si="11"/>
        <v>0</v>
      </c>
      <c r="I63" s="347"/>
      <c r="J63" s="239"/>
    </row>
    <row r="64" spans="1:10" x14ac:dyDescent="0.2">
      <c r="A64" s="281"/>
      <c r="B64" s="348" t="s">
        <v>79</v>
      </c>
      <c r="C64" s="296">
        <f t="shared" ref="C64:H64" si="12">IF((C62-C63)&lt;0,0,(C62-C63))</f>
        <v>0</v>
      </c>
      <c r="D64" s="296">
        <f t="shared" si="12"/>
        <v>0</v>
      </c>
      <c r="E64" s="296">
        <f t="shared" si="12"/>
        <v>0</v>
      </c>
      <c r="F64" s="296">
        <f t="shared" si="12"/>
        <v>0</v>
      </c>
      <c r="G64" s="296">
        <f t="shared" si="12"/>
        <v>0</v>
      </c>
      <c r="H64" s="296">
        <f t="shared" si="12"/>
        <v>0</v>
      </c>
      <c r="I64" s="287">
        <f>SUM(C64:H64)</f>
        <v>0</v>
      </c>
      <c r="J64" s="239"/>
    </row>
    <row r="65" spans="1:10" x14ac:dyDescent="0.2">
      <c r="A65" s="239"/>
      <c r="B65" s="239"/>
      <c r="C65" s="239"/>
      <c r="D65" s="239"/>
      <c r="E65" s="239"/>
      <c r="F65" s="239"/>
      <c r="G65" s="239"/>
      <c r="H65" s="239"/>
      <c r="I65" s="239"/>
      <c r="J65" s="239"/>
    </row>
    <row r="66" spans="1:10" x14ac:dyDescent="0.2">
      <c r="A66" s="239"/>
      <c r="B66" s="239"/>
      <c r="C66" s="239"/>
      <c r="D66" s="239"/>
      <c r="E66" s="239"/>
      <c r="F66" s="239"/>
      <c r="G66" s="239"/>
      <c r="H66" s="239"/>
      <c r="I66" s="239"/>
      <c r="J66" s="239"/>
    </row>
    <row r="67" spans="1:10" x14ac:dyDescent="0.2">
      <c r="A67" s="239"/>
      <c r="B67" s="239"/>
      <c r="C67" s="239"/>
      <c r="D67" s="239"/>
      <c r="E67" s="239"/>
      <c r="F67" s="239"/>
      <c r="G67" s="239"/>
      <c r="H67" s="239"/>
      <c r="I67" s="239"/>
      <c r="J67" s="239"/>
    </row>
    <row r="68" spans="1:10" x14ac:dyDescent="0.2">
      <c r="A68" s="239"/>
      <c r="B68" s="239"/>
      <c r="C68" s="239"/>
      <c r="D68" s="239"/>
      <c r="E68" s="239"/>
      <c r="F68" s="239"/>
      <c r="G68" s="239"/>
      <c r="H68" s="239"/>
      <c r="I68" s="239"/>
      <c r="J68" s="239"/>
    </row>
    <row r="69" spans="1:10" x14ac:dyDescent="0.2">
      <c r="A69" s="239"/>
      <c r="B69" s="239"/>
      <c r="C69" s="239"/>
      <c r="D69" s="239"/>
      <c r="E69" s="239"/>
      <c r="F69" s="239"/>
      <c r="G69" s="239"/>
      <c r="H69" s="239"/>
      <c r="I69" s="239"/>
      <c r="J69" s="239"/>
    </row>
    <row r="70" spans="1:10" x14ac:dyDescent="0.2">
      <c r="A70" s="239"/>
      <c r="B70" s="239"/>
      <c r="C70" s="239"/>
      <c r="D70" s="239"/>
      <c r="E70" s="239"/>
      <c r="F70" s="239"/>
      <c r="G70" s="239"/>
      <c r="H70" s="239"/>
      <c r="I70" s="239"/>
      <c r="J70" s="239"/>
    </row>
    <row r="71" spans="1:10" x14ac:dyDescent="0.2">
      <c r="A71" s="239"/>
      <c r="B71" s="239"/>
      <c r="C71" s="239"/>
      <c r="D71" s="239"/>
      <c r="E71" s="239"/>
      <c r="F71" s="239"/>
      <c r="G71" s="239"/>
      <c r="H71" s="239"/>
      <c r="I71" s="239"/>
      <c r="J71" s="239"/>
    </row>
    <row r="72" spans="1:10" ht="15" x14ac:dyDescent="0.25">
      <c r="A72" s="249"/>
      <c r="B72" s="239"/>
      <c r="C72" s="914" t="s">
        <v>46</v>
      </c>
      <c r="D72" s="914"/>
      <c r="E72" s="914"/>
      <c r="F72" s="914"/>
      <c r="G72" s="914"/>
      <c r="H72" s="914"/>
      <c r="I72" s="239"/>
      <c r="J72" s="239"/>
    </row>
    <row r="73" spans="1:10" ht="15" x14ac:dyDescent="0.25">
      <c r="A73" s="915" t="s">
        <v>29</v>
      </c>
      <c r="B73" s="915"/>
      <c r="C73" s="255" t="e">
        <f>EDATE(BG!D2,-6)</f>
        <v>#NUM!</v>
      </c>
      <c r="D73" s="255" t="e">
        <f>EDATE(BG!D2,-5)</f>
        <v>#NUM!</v>
      </c>
      <c r="E73" s="255" t="e">
        <f>EDATE(BG!D2,-4)</f>
        <v>#NUM!</v>
      </c>
      <c r="F73" s="255" t="e">
        <f>EDATE(BG!D2,-3)</f>
        <v>#NUM!</v>
      </c>
      <c r="G73" s="255" t="e">
        <f>EDATE(BG!D2,-2)</f>
        <v>#NUM!</v>
      </c>
      <c r="H73" s="255" t="e">
        <f>EDATE(BG!D2,-1)</f>
        <v>#NUM!</v>
      </c>
      <c r="I73" s="245"/>
      <c r="J73" s="292"/>
    </row>
    <row r="74" spans="1:10" x14ac:dyDescent="0.2">
      <c r="A74" s="1050" t="s">
        <v>596</v>
      </c>
      <c r="B74" s="1051"/>
      <c r="C74" s="366" t="s">
        <v>185</v>
      </c>
      <c r="D74" s="366" t="s">
        <v>185</v>
      </c>
      <c r="E74" s="366" t="s">
        <v>185</v>
      </c>
      <c r="F74" s="366" t="s">
        <v>185</v>
      </c>
      <c r="G74" s="366" t="s">
        <v>185</v>
      </c>
      <c r="H74" s="366" t="s">
        <v>185</v>
      </c>
      <c r="I74" s="345"/>
      <c r="J74" s="332" t="str">
        <f>IF(SUM(C77:H77)&gt;0,"bitte hier"," ")</f>
        <v xml:space="preserve"> </v>
      </c>
    </row>
    <row r="75" spans="1:10" ht="14.25" customHeight="1" x14ac:dyDescent="0.2">
      <c r="A75" s="916" t="s">
        <v>47</v>
      </c>
      <c r="B75" s="916"/>
      <c r="C75" s="264"/>
      <c r="D75" s="264"/>
      <c r="E75" s="264"/>
      <c r="F75" s="264"/>
      <c r="G75" s="264"/>
      <c r="H75" s="264"/>
      <c r="I75" s="311"/>
      <c r="J75" s="367" t="str">
        <f>IF(SUM(C77:H77)&gt;0,"eintragen"," ")</f>
        <v xml:space="preserve"> </v>
      </c>
    </row>
    <row r="76" spans="1:10" x14ac:dyDescent="0.2">
      <c r="A76" s="917" t="s">
        <v>38</v>
      </c>
      <c r="B76" s="917"/>
      <c r="C76" s="266"/>
      <c r="D76" s="266"/>
      <c r="E76" s="266"/>
      <c r="F76" s="266"/>
      <c r="G76" s="266"/>
      <c r="H76" s="266"/>
      <c r="I76" s="368" t="str">
        <f>IF(SUM(C77:H77)&gt;0,"Beginn d."," ")</f>
        <v xml:space="preserve"> </v>
      </c>
      <c r="J76" s="1052"/>
    </row>
    <row r="77" spans="1:10" ht="14.25" customHeight="1" x14ac:dyDescent="0.2">
      <c r="A77" s="918" t="s">
        <v>242</v>
      </c>
      <c r="B77" s="918"/>
      <c r="C77" s="369"/>
      <c r="D77" s="369"/>
      <c r="E77" s="369"/>
      <c r="F77" s="369"/>
      <c r="G77" s="369"/>
      <c r="H77" s="369"/>
      <c r="I77" s="370" t="str">
        <f>IF(SUM(C77:H77)&gt;0,"Selbständigkeit:"," ")</f>
        <v xml:space="preserve"> </v>
      </c>
      <c r="J77" s="1053"/>
    </row>
    <row r="78" spans="1:10" x14ac:dyDescent="0.2">
      <c r="A78" s="239"/>
      <c r="B78" s="239"/>
      <c r="C78" s="248"/>
      <c r="D78" s="412"/>
      <c r="E78" s="142" t="s">
        <v>48</v>
      </c>
      <c r="F78" s="83">
        <f>SUM(C77:H77)</f>
        <v>0</v>
      </c>
      <c r="G78" s="81" t="s">
        <v>49</v>
      </c>
      <c r="H78" s="83" t="e">
        <f>ROUND((F78/J81),2)</f>
        <v>#NUM!</v>
      </c>
      <c r="I78" s="411" t="str">
        <f>IF(SUM(C77:H77)&gt;0,"Ende d."," ")</f>
        <v xml:space="preserve"> </v>
      </c>
      <c r="J78" s="1048"/>
    </row>
    <row r="79" spans="1:10" x14ac:dyDescent="0.2">
      <c r="A79" s="921" t="s">
        <v>50</v>
      </c>
      <c r="B79" s="922"/>
      <c r="C79" s="297"/>
      <c r="D79" s="297"/>
      <c r="E79" s="297"/>
      <c r="F79" s="297"/>
      <c r="G79" s="297"/>
      <c r="H79" s="297"/>
      <c r="I79" s="370" t="str">
        <f>IF(SUM(C77:H77)&gt;0,"Selbständigkeit:"," ")</f>
        <v xml:space="preserve"> </v>
      </c>
      <c r="J79" s="1049"/>
    </row>
    <row r="80" spans="1:10" x14ac:dyDescent="0.2">
      <c r="A80" s="923" t="s">
        <v>51</v>
      </c>
      <c r="B80" s="924"/>
      <c r="C80" s="298"/>
      <c r="D80" s="298"/>
      <c r="E80" s="298"/>
      <c r="F80" s="298"/>
      <c r="G80" s="298"/>
      <c r="H80" s="298"/>
      <c r="I80" s="1054" t="str">
        <f>IF(SUM(C77:H77)&gt;0,"Format: Monat Jahr"," ")</f>
        <v xml:space="preserve"> </v>
      </c>
      <c r="J80" s="1055"/>
    </row>
    <row r="81" spans="1:10" x14ac:dyDescent="0.2">
      <c r="A81" s="925" t="s">
        <v>52</v>
      </c>
      <c r="B81" s="925"/>
      <c r="C81" s="371"/>
      <c r="D81" s="371"/>
      <c r="E81" s="371"/>
      <c r="F81" s="371"/>
      <c r="G81" s="371"/>
      <c r="H81" s="371"/>
      <c r="I81" s="198" t="e">
        <f>IF(J76&lt;MEG!C6,6,DATEDIF(J76,MEG!E6,"m")+1)</f>
        <v>#NUM!</v>
      </c>
      <c r="J81" s="199" t="e">
        <f>IF(J78=ISBLANK(0),I81,IF(J76=ISBLANK(0),I82,DATEDIF(I84,J84,"m")+1))</f>
        <v>#NUM!</v>
      </c>
    </row>
    <row r="82" spans="1:10" x14ac:dyDescent="0.2">
      <c r="A82" s="1056" t="s">
        <v>54</v>
      </c>
      <c r="B82" s="1056"/>
      <c r="C82" s="413"/>
      <c r="D82" s="413"/>
      <c r="E82" s="413"/>
      <c r="F82" s="413"/>
      <c r="G82" s="413"/>
      <c r="H82" s="413"/>
      <c r="I82" s="198" t="e">
        <f>IF(J78&lt;MEG!C6,6,DATEDIF(MEG!C6,J78,"m")+1)</f>
        <v>#NUM!</v>
      </c>
      <c r="J82" s="199"/>
    </row>
    <row r="83" spans="1:10" x14ac:dyDescent="0.2">
      <c r="A83" s="1057"/>
      <c r="B83" s="1057"/>
      <c r="C83" s="126" t="s">
        <v>48</v>
      </c>
      <c r="D83" s="83">
        <f>SUM(C81:H82)</f>
        <v>0</v>
      </c>
      <c r="E83" s="81" t="s">
        <v>49</v>
      </c>
      <c r="F83" s="83" t="e">
        <f>ROUND((D83/J81),2)</f>
        <v>#NUM!</v>
      </c>
      <c r="G83" s="90" t="s">
        <v>53</v>
      </c>
      <c r="H83" s="91" t="e">
        <f>IF((H78-F83)&lt;0,0,(H78-F83))</f>
        <v>#NUM!</v>
      </c>
      <c r="I83" s="81"/>
      <c r="J83" s="81"/>
    </row>
    <row r="84" spans="1:10" x14ac:dyDescent="0.2">
      <c r="A84" s="239"/>
      <c r="B84" s="292"/>
      <c r="C84" s="373"/>
      <c r="D84" s="373"/>
      <c r="E84" s="373"/>
      <c r="F84" s="373"/>
      <c r="G84" s="373"/>
      <c r="H84" s="374"/>
      <c r="I84" s="179" t="e">
        <f>IF(J76&lt;MEG!C6,MEG!C6,J76)</f>
        <v>#NUM!</v>
      </c>
      <c r="J84" s="179" t="e">
        <f>IF(J78&gt;MEG!E6,MEG!E6,J78)</f>
        <v>#NUM!</v>
      </c>
    </row>
    <row r="85" spans="1:10" x14ac:dyDescent="0.2">
      <c r="A85" s="925" t="s">
        <v>54</v>
      </c>
      <c r="B85" s="925"/>
      <c r="C85" s="302">
        <f t="shared" ref="C85:H85" si="13">SUM(C88,(C86*ROUND(C87,0)*0.2))</f>
        <v>0</v>
      </c>
      <c r="D85" s="302">
        <f t="shared" si="13"/>
        <v>0</v>
      </c>
      <c r="E85" s="302">
        <f t="shared" si="13"/>
        <v>0</v>
      </c>
      <c r="F85" s="302">
        <f t="shared" si="13"/>
        <v>0</v>
      </c>
      <c r="G85" s="302">
        <f t="shared" si="13"/>
        <v>0</v>
      </c>
      <c r="H85" s="302">
        <f t="shared" si="13"/>
        <v>0</v>
      </c>
      <c r="I85" s="203" t="e">
        <f>I84</f>
        <v>#NUM!</v>
      </c>
      <c r="J85" s="179" t="e">
        <f>IF(J78=ISBLANK(0),H73+1,J78)</f>
        <v>#NUM!</v>
      </c>
    </row>
    <row r="86" spans="1:10" x14ac:dyDescent="0.2">
      <c r="A86" s="927" t="s">
        <v>234</v>
      </c>
      <c r="B86" s="928"/>
      <c r="C86" s="375"/>
      <c r="D86" s="375"/>
      <c r="E86" s="375"/>
      <c r="F86" s="375"/>
      <c r="G86" s="375"/>
      <c r="H86" s="375"/>
      <c r="I86" s="202" t="e">
        <f>IF(I84&gt;C73,0,IF(J85&lt;C73,0,H83))</f>
        <v>#NUM!</v>
      </c>
      <c r="J86" s="81"/>
    </row>
    <row r="87" spans="1:10" x14ac:dyDescent="0.2">
      <c r="A87" s="927" t="s">
        <v>235</v>
      </c>
      <c r="B87" s="928"/>
      <c r="C87" s="375"/>
      <c r="D87" s="375"/>
      <c r="E87" s="375"/>
      <c r="F87" s="375"/>
      <c r="G87" s="375"/>
      <c r="H87" s="375"/>
      <c r="I87" s="202" t="e">
        <f>IF(I84&gt;D73,0,IF(J85&lt;D73,0,H83))</f>
        <v>#NUM!</v>
      </c>
      <c r="J87" s="81"/>
    </row>
    <row r="88" spans="1:10" x14ac:dyDescent="0.2">
      <c r="A88" s="929" t="s">
        <v>237</v>
      </c>
      <c r="B88" s="930"/>
      <c r="C88" s="372"/>
      <c r="D88" s="372"/>
      <c r="E88" s="372"/>
      <c r="F88" s="372"/>
      <c r="G88" s="372"/>
      <c r="H88" s="372"/>
      <c r="I88" s="202" t="e">
        <f>IF(I84&gt;E73,0,IF(J85&lt;E73,0,H83))</f>
        <v>#NUM!</v>
      </c>
      <c r="J88" s="81"/>
    </row>
    <row r="89" spans="1:10" x14ac:dyDescent="0.2">
      <c r="A89" s="926" t="s">
        <v>55</v>
      </c>
      <c r="B89" s="926"/>
      <c r="C89" s="305">
        <f t="shared" ref="C89:H89" si="14">C90*C91</f>
        <v>0</v>
      </c>
      <c r="D89" s="305">
        <f t="shared" si="14"/>
        <v>0</v>
      </c>
      <c r="E89" s="305">
        <f t="shared" si="14"/>
        <v>0</v>
      </c>
      <c r="F89" s="305">
        <f t="shared" si="14"/>
        <v>0</v>
      </c>
      <c r="G89" s="305">
        <f t="shared" si="14"/>
        <v>0</v>
      </c>
      <c r="H89" s="305">
        <f t="shared" si="14"/>
        <v>0</v>
      </c>
      <c r="I89" s="202" t="e">
        <f>IF(I84&gt;F73,0,IF(J85&lt;F73,0,H83))</f>
        <v>#NUM!</v>
      </c>
      <c r="J89" s="83"/>
    </row>
    <row r="90" spans="1:10" x14ac:dyDescent="0.2">
      <c r="A90" s="898" t="s">
        <v>238</v>
      </c>
      <c r="B90" s="899"/>
      <c r="C90" s="375"/>
      <c r="D90" s="375"/>
      <c r="E90" s="375"/>
      <c r="F90" s="375"/>
      <c r="G90" s="375"/>
      <c r="H90" s="375"/>
      <c r="I90" s="202" t="e">
        <f>IF(I84&gt;G73,0,IF(J85&lt;G73,0,H83))</f>
        <v>#NUM!</v>
      </c>
      <c r="J90" s="81"/>
    </row>
    <row r="91" spans="1:10" x14ac:dyDescent="0.2">
      <c r="A91" s="942" t="s">
        <v>239</v>
      </c>
      <c r="B91" s="943"/>
      <c r="C91" s="376"/>
      <c r="D91" s="376"/>
      <c r="E91" s="376"/>
      <c r="F91" s="376"/>
      <c r="G91" s="376"/>
      <c r="H91" s="376"/>
      <c r="I91" s="202" t="e">
        <f>IF(I84&gt;H73,0,IF(J85&lt;H73,0,H83))</f>
        <v>#NUM!</v>
      </c>
      <c r="J91" s="81"/>
    </row>
    <row r="92" spans="1:10" x14ac:dyDescent="0.2">
      <c r="A92" s="937" t="s">
        <v>236</v>
      </c>
      <c r="B92" s="938"/>
      <c r="C92" s="307"/>
      <c r="D92" s="307"/>
      <c r="E92" s="307"/>
      <c r="F92" s="307"/>
      <c r="G92" s="307"/>
      <c r="H92" s="307"/>
      <c r="I92" s="356"/>
      <c r="J92" s="83"/>
    </row>
    <row r="93" spans="1:10" x14ac:dyDescent="0.2">
      <c r="A93" s="903" t="s">
        <v>56</v>
      </c>
      <c r="B93" s="903"/>
      <c r="C93" s="307"/>
      <c r="D93" s="307"/>
      <c r="E93" s="307"/>
      <c r="F93" s="307"/>
      <c r="G93" s="307"/>
      <c r="H93" s="307"/>
      <c r="I93" s="311"/>
      <c r="J93" s="294"/>
    </row>
    <row r="94" spans="1:10" x14ac:dyDescent="0.2">
      <c r="A94" s="903" t="s">
        <v>57</v>
      </c>
      <c r="B94" s="903"/>
      <c r="C94" s="307"/>
      <c r="D94" s="307"/>
      <c r="E94" s="307"/>
      <c r="F94" s="307"/>
      <c r="G94" s="307"/>
      <c r="H94" s="307"/>
      <c r="I94" s="311"/>
      <c r="J94" s="294"/>
    </row>
    <row r="95" spans="1:10" x14ac:dyDescent="0.2">
      <c r="A95" s="903" t="s">
        <v>58</v>
      </c>
      <c r="B95" s="903"/>
      <c r="C95" s="308"/>
      <c r="D95" s="308"/>
      <c r="E95" s="308"/>
      <c r="F95" s="308"/>
      <c r="G95" s="308"/>
      <c r="H95" s="308"/>
      <c r="I95" s="311"/>
      <c r="J95" s="294"/>
    </row>
    <row r="96" spans="1:10" x14ac:dyDescent="0.2">
      <c r="A96" s="239"/>
      <c r="B96" s="239"/>
      <c r="C96" s="93" t="e">
        <f>C75+I86</f>
        <v>#NUM!</v>
      </c>
      <c r="D96" s="93" t="e">
        <f>D75+I87</f>
        <v>#NUM!</v>
      </c>
      <c r="E96" s="93" t="e">
        <f>E75+I88</f>
        <v>#NUM!</v>
      </c>
      <c r="F96" s="93" t="e">
        <f>F75+I89</f>
        <v>#NUM!</v>
      </c>
      <c r="G96" s="93" t="e">
        <f>G75+I90</f>
        <v>#NUM!</v>
      </c>
      <c r="H96" s="93" t="e">
        <f>H75+I91</f>
        <v>#NUM!</v>
      </c>
      <c r="I96" s="239"/>
      <c r="J96" s="239"/>
    </row>
    <row r="97" spans="1:10" x14ac:dyDescent="0.2">
      <c r="A97" s="903" t="s">
        <v>59</v>
      </c>
      <c r="B97" s="903"/>
      <c r="C97" s="287" t="e">
        <f>IF(C74="ja",Grundfreibeträge!G18,Grundfreibeträge!F18)</f>
        <v>#NUM!</v>
      </c>
      <c r="D97" s="287" t="e">
        <f>IF(D74="ja",Grundfreibeträge!G19,Grundfreibeträge!F19)</f>
        <v>#NUM!</v>
      </c>
      <c r="E97" s="287" t="e">
        <f>IF(E74="ja",Grundfreibeträge!G20,Grundfreibeträge!F20)</f>
        <v>#NUM!</v>
      </c>
      <c r="F97" s="287" t="e">
        <f>IF(F74="ja",Grundfreibeträge!G21,Grundfreibeträge!F21)</f>
        <v>#NUM!</v>
      </c>
      <c r="G97" s="287" t="e">
        <f>IF(G74="ja",Grundfreibeträge!G22,Grundfreibeträge!F22)</f>
        <v>#NUM!</v>
      </c>
      <c r="H97" s="287" t="e">
        <f>IF(H74="ja",Grundfreibeträge!G23,Grundfreibeträge!F23)</f>
        <v>#NUM!</v>
      </c>
      <c r="I97" s="239"/>
      <c r="J97" s="239"/>
    </row>
    <row r="98" spans="1:10" x14ac:dyDescent="0.2">
      <c r="A98" s="937" t="s">
        <v>597</v>
      </c>
      <c r="B98" s="938"/>
      <c r="C98" s="287" t="e">
        <f>MAX((MIN(C96,520)-C97)*0.2,0)</f>
        <v>#NUM!</v>
      </c>
      <c r="D98" s="287" t="e">
        <f t="shared" ref="D98:H98" si="15">MAX((MIN(D96,520)-D97)*0.2,0)</f>
        <v>#NUM!</v>
      </c>
      <c r="E98" s="287" t="e">
        <f t="shared" si="15"/>
        <v>#NUM!</v>
      </c>
      <c r="F98" s="287" t="e">
        <f t="shared" si="15"/>
        <v>#NUM!</v>
      </c>
      <c r="G98" s="287" t="e">
        <f t="shared" si="15"/>
        <v>#NUM!</v>
      </c>
      <c r="H98" s="287" t="e">
        <f t="shared" si="15"/>
        <v>#NUM!</v>
      </c>
      <c r="I98" s="778"/>
      <c r="J98" s="778"/>
    </row>
    <row r="99" spans="1:10" x14ac:dyDescent="0.2">
      <c r="A99" s="903" t="s">
        <v>60</v>
      </c>
      <c r="B99" s="903"/>
      <c r="C99" s="287" t="e">
        <f>MAX(MIN(C96-520,480)*0.3,0)</f>
        <v>#NUM!</v>
      </c>
      <c r="D99" s="287" t="e">
        <f t="shared" ref="D99:H99" si="16">MAX(MIN(D96-520,480)*0.3,0)</f>
        <v>#NUM!</v>
      </c>
      <c r="E99" s="287" t="e">
        <f t="shared" si="16"/>
        <v>#NUM!</v>
      </c>
      <c r="F99" s="287" t="e">
        <f t="shared" si="16"/>
        <v>#NUM!</v>
      </c>
      <c r="G99" s="287" t="e">
        <f t="shared" si="16"/>
        <v>#NUM!</v>
      </c>
      <c r="H99" s="287" t="e">
        <f t="shared" si="16"/>
        <v>#NUM!</v>
      </c>
      <c r="I99" s="239"/>
      <c r="J99" s="239"/>
    </row>
    <row r="100" spans="1:10" x14ac:dyDescent="0.2">
      <c r="A100" s="903" t="s">
        <v>61</v>
      </c>
      <c r="B100" s="903"/>
      <c r="C100" s="287" t="e">
        <f>IF(Grundfreibeträge!Q6="Kind ü18",Grundfreibeträge!H18,IF(C96&lt;1000,0,IF(C96&gt;=1500,50,ROUND((C96-1000)*10%,2))))</f>
        <v>#NUM!</v>
      </c>
      <c r="D100" s="287" t="e">
        <f>IF(Grundfreibeträge!Q6="Kind ü18",Grundfreibeträge!H19,IF(D96&lt;1000,0,IF(D96&gt;=1500,50,ROUND((D96-1000)*10%,2))))</f>
        <v>#NUM!</v>
      </c>
      <c r="E100" s="287" t="e">
        <f>IF(Grundfreibeträge!Q6="Kind ü18",Grundfreibeträge!H20,IF(E96&lt;1000,0,IF(E96&gt;=1500,50,ROUND((E96-1000)*10%,2))))</f>
        <v>#NUM!</v>
      </c>
      <c r="F100" s="287" t="e">
        <f>IF(Grundfreibeträge!Q6="Kind ü18",Grundfreibeträge!H21,IF(F96&lt;1000,0,IF(F96&gt;=1500,50,ROUND((F96-1000)*10%,2))))</f>
        <v>#NUM!</v>
      </c>
      <c r="G100" s="287" t="e">
        <f>IF(Grundfreibeträge!Q6="Kind ü18",Grundfreibeträge!H22,IF(G96&lt;1000,0,IF(G96&gt;=1500,50,ROUND((G96-1000)*10%,2))))</f>
        <v>#NUM!</v>
      </c>
      <c r="H100" s="287" t="e">
        <f>IF(Grundfreibeträge!Q6="Kind ü18",Grundfreibeträge!H23,IF(H96&lt;1000,0,IF(H96&gt;=1500,50,ROUND((H96-1000)*10%,2))))</f>
        <v>#NUM!</v>
      </c>
      <c r="I100" s="288" t="s">
        <v>48</v>
      </c>
      <c r="J100" s="239"/>
    </row>
    <row r="101" spans="1:10" x14ac:dyDescent="0.2">
      <c r="A101" s="903" t="s">
        <v>62</v>
      </c>
      <c r="B101" s="903"/>
      <c r="C101" s="287" t="e">
        <f>IF(C96=0,0,MAX(C96-C79-C97-C98-C99-C100,0))</f>
        <v>#NUM!</v>
      </c>
      <c r="D101" s="287" t="e">
        <f t="shared" ref="D101:H101" si="17">IF(D96=0,0,MAX(D96-D79-D97-D98-D99-D100,0))</f>
        <v>#NUM!</v>
      </c>
      <c r="E101" s="287" t="e">
        <f t="shared" si="17"/>
        <v>#NUM!</v>
      </c>
      <c r="F101" s="287" t="e">
        <f t="shared" si="17"/>
        <v>#NUM!</v>
      </c>
      <c r="G101" s="287" t="e">
        <f t="shared" si="17"/>
        <v>#NUM!</v>
      </c>
      <c r="H101" s="287" t="e">
        <f t="shared" si="17"/>
        <v>#NUM!</v>
      </c>
      <c r="I101" s="287" t="e">
        <f>SUM(C101:H101)</f>
        <v>#NUM!</v>
      </c>
      <c r="J101" s="239"/>
    </row>
    <row r="102" spans="1:10" x14ac:dyDescent="0.2">
      <c r="A102" s="239"/>
      <c r="B102" s="312"/>
      <c r="C102" s="83" t="e">
        <f>C75+C76+I86</f>
        <v>#NUM!</v>
      </c>
      <c r="D102" s="83" t="e">
        <f>D75+D76+I87</f>
        <v>#NUM!</v>
      </c>
      <c r="E102" s="83" t="e">
        <f>E75+E76+I88</f>
        <v>#NUM!</v>
      </c>
      <c r="F102" s="83" t="e">
        <f>F75+F76+I89</f>
        <v>#NUM!</v>
      </c>
      <c r="G102" s="83" t="e">
        <f>G75+G76+I90</f>
        <v>#NUM!</v>
      </c>
      <c r="H102" s="83" t="e">
        <f>H75+H76+I91</f>
        <v>#NUM!</v>
      </c>
      <c r="I102" s="294"/>
      <c r="J102" s="239"/>
    </row>
    <row r="103" spans="1:10" ht="15" x14ac:dyDescent="0.25">
      <c r="A103" s="239"/>
      <c r="B103" s="239"/>
      <c r="C103" s="83" t="e">
        <f t="shared" ref="C103:H103" si="18">IF(C102=0,0,IF(C102&lt;=100,0,IF(C102&lt;=1000,(C102-100)*20%,IF(C102&gt;1000,180))))</f>
        <v>#NUM!</v>
      </c>
      <c r="D103" s="83" t="e">
        <f t="shared" si="18"/>
        <v>#NUM!</v>
      </c>
      <c r="E103" s="83" t="e">
        <f t="shared" si="18"/>
        <v>#NUM!</v>
      </c>
      <c r="F103" s="83" t="e">
        <f t="shared" si="18"/>
        <v>#NUM!</v>
      </c>
      <c r="G103" s="83" t="e">
        <f t="shared" si="18"/>
        <v>#NUM!</v>
      </c>
      <c r="H103" s="83" t="e">
        <f t="shared" si="18"/>
        <v>#NUM!</v>
      </c>
      <c r="I103" s="313"/>
      <c r="J103" s="239"/>
    </row>
    <row r="104" spans="1:10" ht="15" x14ac:dyDescent="0.25">
      <c r="A104" s="909" t="s">
        <v>63</v>
      </c>
      <c r="B104" s="909"/>
      <c r="C104" s="97" t="e">
        <f t="shared" ref="C104:H104" si="19">IF(C102&lt;1000,0,IF(C102&gt;=1500,50,ROUND((C102-1000)*10%,2)))</f>
        <v>#NUM!</v>
      </c>
      <c r="D104" s="97" t="e">
        <f t="shared" si="19"/>
        <v>#NUM!</v>
      </c>
      <c r="E104" s="97" t="e">
        <f t="shared" si="19"/>
        <v>#NUM!</v>
      </c>
      <c r="F104" s="97" t="e">
        <f t="shared" si="19"/>
        <v>#NUM!</v>
      </c>
      <c r="G104" s="97" t="e">
        <f t="shared" si="19"/>
        <v>#NUM!</v>
      </c>
      <c r="H104" s="97" t="e">
        <f t="shared" si="19"/>
        <v>#NUM!</v>
      </c>
      <c r="I104" s="313"/>
      <c r="J104" s="239"/>
    </row>
    <row r="105" spans="1:10" x14ac:dyDescent="0.2">
      <c r="A105" s="908" t="s">
        <v>64</v>
      </c>
      <c r="B105" s="908"/>
      <c r="C105" s="296">
        <f t="shared" ref="C105:H105" si="20">IF(C76=0,0,(C103+C104)-(C99+C100))</f>
        <v>0</v>
      </c>
      <c r="D105" s="296">
        <f t="shared" si="20"/>
        <v>0</v>
      </c>
      <c r="E105" s="296">
        <f t="shared" si="20"/>
        <v>0</v>
      </c>
      <c r="F105" s="296">
        <f t="shared" si="20"/>
        <v>0</v>
      </c>
      <c r="G105" s="296">
        <f t="shared" si="20"/>
        <v>0</v>
      </c>
      <c r="H105" s="296">
        <f t="shared" si="20"/>
        <v>0</v>
      </c>
      <c r="I105" s="314" t="s">
        <v>48</v>
      </c>
      <c r="J105" s="239"/>
    </row>
    <row r="106" spans="1:10" x14ac:dyDescent="0.2">
      <c r="A106" s="810" t="s">
        <v>65</v>
      </c>
      <c r="B106" s="810"/>
      <c r="C106" s="287">
        <f t="shared" ref="C106:H106" si="21">IF(C76=0,0,IF(AND(C76&gt;0,C96&gt;0),C76-C80-C105,IF(C76-C80-C105-C97&lt;0,0,C76-C80-C105-C97)))</f>
        <v>0</v>
      </c>
      <c r="D106" s="287">
        <f t="shared" si="21"/>
        <v>0</v>
      </c>
      <c r="E106" s="287">
        <f t="shared" si="21"/>
        <v>0</v>
      </c>
      <c r="F106" s="287">
        <f t="shared" si="21"/>
        <v>0</v>
      </c>
      <c r="G106" s="287">
        <f t="shared" si="21"/>
        <v>0</v>
      </c>
      <c r="H106" s="287">
        <f t="shared" si="21"/>
        <v>0</v>
      </c>
      <c r="I106" s="287">
        <f>SUM(C106:H106)</f>
        <v>0</v>
      </c>
      <c r="J106" s="239"/>
    </row>
    <row r="107" spans="1:10" x14ac:dyDescent="0.2">
      <c r="A107" s="239"/>
      <c r="B107" s="239"/>
      <c r="C107" s="239"/>
      <c r="D107" s="239"/>
      <c r="E107" s="239"/>
      <c r="F107" s="239"/>
      <c r="G107" s="239"/>
      <c r="H107" s="239"/>
      <c r="I107" s="239"/>
      <c r="J107" s="239"/>
    </row>
    <row r="108" spans="1:10" x14ac:dyDescent="0.2">
      <c r="A108" s="239"/>
      <c r="B108" s="239"/>
      <c r="C108" s="239"/>
      <c r="D108" s="239"/>
      <c r="E108" s="239"/>
      <c r="F108" s="239"/>
      <c r="G108" s="239"/>
      <c r="H108" s="239"/>
      <c r="I108" s="239"/>
      <c r="J108" s="239"/>
    </row>
    <row r="109" spans="1:10" x14ac:dyDescent="0.2">
      <c r="A109" s="239"/>
      <c r="B109" s="239"/>
      <c r="C109" s="239"/>
      <c r="D109" s="239"/>
      <c r="E109" s="239"/>
      <c r="F109" s="239"/>
      <c r="G109" s="239"/>
      <c r="H109" s="239"/>
      <c r="I109" s="239"/>
      <c r="J109" s="239"/>
    </row>
    <row r="110" spans="1:10" ht="15" x14ac:dyDescent="0.25">
      <c r="A110" s="239"/>
      <c r="B110" s="944" t="s">
        <v>80</v>
      </c>
      <c r="C110" s="945"/>
      <c r="D110" s="946"/>
      <c r="E110" s="350" t="s">
        <v>48</v>
      </c>
      <c r="F110" s="377" t="s">
        <v>49</v>
      </c>
      <c r="G110" s="239"/>
      <c r="H110" s="239"/>
      <c r="I110" s="239"/>
      <c r="J110" s="239"/>
    </row>
    <row r="111" spans="1:10" x14ac:dyDescent="0.2">
      <c r="A111" s="239"/>
      <c r="B111" s="947" t="s">
        <v>81</v>
      </c>
      <c r="C111" s="948"/>
      <c r="D111" s="949"/>
      <c r="E111" s="352" t="e">
        <f>I101+I106</f>
        <v>#NUM!</v>
      </c>
      <c r="F111" s="352" t="e">
        <f>E111/6</f>
        <v>#NUM!</v>
      </c>
      <c r="G111" s="239"/>
      <c r="H111" s="239"/>
      <c r="I111" s="239"/>
      <c r="J111" s="239"/>
    </row>
    <row r="112" spans="1:10" x14ac:dyDescent="0.2">
      <c r="A112" s="239"/>
      <c r="B112" s="947" t="s">
        <v>82</v>
      </c>
      <c r="C112" s="948"/>
      <c r="D112" s="949"/>
      <c r="E112" s="352">
        <f>I64</f>
        <v>0</v>
      </c>
      <c r="F112" s="352">
        <f>E112/6</f>
        <v>0</v>
      </c>
      <c r="G112" s="239"/>
      <c r="H112" s="239"/>
      <c r="I112" s="239"/>
      <c r="J112" s="239"/>
    </row>
    <row r="113" spans="1:10" ht="15" x14ac:dyDescent="0.25">
      <c r="A113" s="239"/>
      <c r="B113" s="239"/>
      <c r="C113" s="239"/>
      <c r="D113" s="239"/>
      <c r="E113" s="378" t="s">
        <v>84</v>
      </c>
      <c r="F113" s="353" t="e">
        <f>F111+F112</f>
        <v>#NUM!</v>
      </c>
      <c r="G113" s="239"/>
      <c r="H113" s="239"/>
      <c r="I113" s="239"/>
      <c r="J113" s="239"/>
    </row>
    <row r="114" spans="1:10" x14ac:dyDescent="0.2">
      <c r="A114" s="239"/>
      <c r="B114" s="239"/>
      <c r="C114" s="239"/>
      <c r="D114" s="239"/>
      <c r="E114" s="239"/>
      <c r="F114" s="239"/>
      <c r="G114" s="239"/>
      <c r="H114" s="239"/>
      <c r="I114" s="239"/>
      <c r="J114" s="239"/>
    </row>
    <row r="115" spans="1:10" x14ac:dyDescent="0.2">
      <c r="A115" s="239"/>
      <c r="B115" s="239"/>
      <c r="C115" s="239"/>
      <c r="D115" s="239"/>
      <c r="E115" s="239"/>
      <c r="F115" s="239"/>
      <c r="G115" s="239"/>
      <c r="H115" s="239"/>
      <c r="I115" s="239"/>
      <c r="J115" s="239"/>
    </row>
    <row r="116" spans="1:10" x14ac:dyDescent="0.2">
      <c r="A116" s="239"/>
      <c r="B116" s="239"/>
      <c r="C116" s="239"/>
      <c r="D116" s="239"/>
      <c r="E116" s="239"/>
      <c r="F116" s="239"/>
      <c r="G116" s="239"/>
      <c r="H116" s="239"/>
      <c r="I116" s="239"/>
      <c r="J116" s="239"/>
    </row>
    <row r="117" spans="1:10" x14ac:dyDescent="0.2">
      <c r="A117" s="239"/>
      <c r="B117" s="239"/>
      <c r="C117" s="239"/>
      <c r="D117" s="239"/>
      <c r="E117" s="239"/>
      <c r="F117" s="239"/>
      <c r="G117" s="239"/>
      <c r="H117" s="239"/>
      <c r="I117" s="239"/>
      <c r="J117" s="239"/>
    </row>
    <row r="118" spans="1:10" x14ac:dyDescent="0.2">
      <c r="A118" s="239"/>
      <c r="B118" s="239"/>
      <c r="C118" s="239"/>
      <c r="D118" s="239"/>
      <c r="E118" s="239"/>
      <c r="F118" s="239"/>
      <c r="G118" s="239"/>
      <c r="H118" s="239"/>
      <c r="I118" s="239"/>
      <c r="J118" s="239"/>
    </row>
    <row r="119" spans="1:10" x14ac:dyDescent="0.2">
      <c r="A119" s="239"/>
      <c r="B119" s="239"/>
      <c r="C119" s="239"/>
      <c r="D119" s="239"/>
      <c r="E119" s="239"/>
      <c r="F119" s="1058" t="s">
        <v>85</v>
      </c>
      <c r="G119" s="1058"/>
      <c r="H119" s="379"/>
      <c r="I119" s="239"/>
      <c r="J119" s="239"/>
    </row>
    <row r="120" spans="1:10" x14ac:dyDescent="0.2">
      <c r="A120" s="239"/>
      <c r="B120" s="239"/>
      <c r="C120" s="239"/>
      <c r="D120" s="239"/>
      <c r="E120" s="239"/>
      <c r="F120" s="1059" t="s">
        <v>86</v>
      </c>
      <c r="G120" s="1059"/>
      <c r="H120" s="380"/>
      <c r="I120" s="239"/>
      <c r="J120" s="239"/>
    </row>
    <row r="121" spans="1:10" ht="15" x14ac:dyDescent="0.25">
      <c r="A121" s="239"/>
      <c r="B121" s="239"/>
      <c r="C121" s="239"/>
      <c r="D121" s="239"/>
      <c r="E121" s="239"/>
      <c r="F121" s="1060" t="s">
        <v>87</v>
      </c>
      <c r="G121" s="1060"/>
      <c r="H121" s="381" t="e">
        <f>IF(Kurzantrag!C14&gt;0,Kurzantrag!C14,ROUND(F113*45%,2))</f>
        <v>#NUM!</v>
      </c>
      <c r="I121" s="239"/>
      <c r="J121" s="239"/>
    </row>
    <row r="122" spans="1:10" x14ac:dyDescent="0.2">
      <c r="A122" s="239"/>
      <c r="B122" s="239"/>
      <c r="C122" s="239"/>
      <c r="D122" s="239"/>
      <c r="E122" s="239"/>
      <c r="F122" s="239"/>
      <c r="G122" s="239"/>
      <c r="H122" s="239"/>
      <c r="I122" s="239"/>
      <c r="J122" s="239"/>
    </row>
    <row r="123" spans="1:10" x14ac:dyDescent="0.2">
      <c r="A123" s="239"/>
      <c r="B123" s="239"/>
      <c r="C123" s="239"/>
      <c r="D123" s="239"/>
      <c r="E123" s="239"/>
      <c r="F123" s="239"/>
      <c r="G123" s="239"/>
      <c r="H123" s="239"/>
      <c r="I123" s="239"/>
      <c r="J123" s="239"/>
    </row>
    <row r="124" spans="1:10" x14ac:dyDescent="0.2">
      <c r="A124" s="239"/>
      <c r="B124" s="239"/>
      <c r="C124" s="239"/>
      <c r="D124" s="239"/>
      <c r="E124" s="239"/>
      <c r="F124" s="239"/>
      <c r="G124" s="239"/>
      <c r="H124" s="239"/>
      <c r="I124" s="239"/>
      <c r="J124" s="239"/>
    </row>
    <row r="125" spans="1:10" x14ac:dyDescent="0.2">
      <c r="A125" s="213"/>
      <c r="B125" s="213"/>
      <c r="C125" s="213"/>
      <c r="D125" s="213"/>
      <c r="E125" s="213"/>
      <c r="F125" s="213"/>
      <c r="G125" s="213"/>
      <c r="H125" s="213"/>
      <c r="I125" s="213"/>
      <c r="J125" s="213"/>
    </row>
    <row r="126" spans="1:10" x14ac:dyDescent="0.2">
      <c r="A126" s="127"/>
      <c r="B126" s="127"/>
      <c r="C126" s="127"/>
      <c r="D126" s="127"/>
      <c r="E126" s="127"/>
      <c r="F126" s="127"/>
      <c r="G126" s="127"/>
      <c r="H126" s="127"/>
      <c r="I126" s="127"/>
      <c r="J126" s="127"/>
    </row>
    <row r="127" spans="1:10" x14ac:dyDescent="0.2">
      <c r="A127" s="127"/>
      <c r="B127" s="127"/>
      <c r="C127" s="127"/>
      <c r="D127" s="127"/>
      <c r="E127" s="127"/>
      <c r="F127" s="127"/>
      <c r="G127" s="127"/>
      <c r="H127" s="127"/>
      <c r="I127" s="127"/>
      <c r="J127" s="127"/>
    </row>
    <row r="128" spans="1:10" x14ac:dyDescent="0.2">
      <c r="A128" s="2"/>
      <c r="B128" s="2"/>
      <c r="C128" s="2"/>
      <c r="D128" s="2"/>
      <c r="E128" s="2"/>
      <c r="F128" s="2"/>
      <c r="G128" s="2"/>
      <c r="H128" s="2"/>
      <c r="I128" s="2"/>
      <c r="J128" s="2"/>
    </row>
    <row r="129" spans="1:10" x14ac:dyDescent="0.2">
      <c r="A129" s="2"/>
      <c r="B129" s="2"/>
      <c r="C129" s="2"/>
      <c r="D129" s="2"/>
      <c r="E129" s="2"/>
      <c r="F129" s="2"/>
      <c r="G129" s="2"/>
      <c r="H129" s="2"/>
      <c r="I129" s="2"/>
      <c r="J129" s="2"/>
    </row>
    <row r="130" spans="1:10" x14ac:dyDescent="0.2">
      <c r="A130" s="2"/>
      <c r="B130" s="2"/>
      <c r="C130" s="2"/>
      <c r="D130" s="2"/>
      <c r="E130" s="2"/>
      <c r="F130" s="2"/>
      <c r="G130" s="2"/>
      <c r="H130" s="2"/>
      <c r="I130" s="2"/>
      <c r="J130" s="2"/>
    </row>
    <row r="131" spans="1:10" x14ac:dyDescent="0.2">
      <c r="A131" s="2"/>
      <c r="B131" s="2"/>
      <c r="C131" s="2"/>
      <c r="D131" s="2"/>
      <c r="E131" s="2"/>
      <c r="F131" s="2"/>
      <c r="G131" s="2"/>
      <c r="H131" s="2"/>
      <c r="I131" s="2"/>
      <c r="J131" s="2"/>
    </row>
  </sheetData>
  <sheetProtection algorithmName="SHA-512" hashValue="2XlzBWmfzvIPFtSayfHII48/f8Q0tkwXN8VjomzIotYsPc7M1S7dGfsYNDSTsToY9ZnvGjpcETTyOUpofKyXcQ==" saltValue="qKe5QQlXLqcGX/nM7T1nVg==" spinCount="100000" sheet="1" formatCells="0" formatColumns="0" formatRows="0" insertColumns="0" insertRows="0" insertHyperlinks="0" deleteColumns="0" deleteRows="0" sort="0" autoFilter="0" pivotTables="0"/>
  <mergeCells count="84">
    <mergeCell ref="B111:D111"/>
    <mergeCell ref="B112:D112"/>
    <mergeCell ref="F119:G119"/>
    <mergeCell ref="F120:G120"/>
    <mergeCell ref="F121:G121"/>
    <mergeCell ref="B110:D110"/>
    <mergeCell ref="A92:B92"/>
    <mergeCell ref="A93:B93"/>
    <mergeCell ref="A94:B94"/>
    <mergeCell ref="A95:B95"/>
    <mergeCell ref="A97:B97"/>
    <mergeCell ref="A99:B99"/>
    <mergeCell ref="A100:B100"/>
    <mergeCell ref="A101:B101"/>
    <mergeCell ref="A104:B104"/>
    <mergeCell ref="A105:B105"/>
    <mergeCell ref="A106:B106"/>
    <mergeCell ref="A98:B98"/>
    <mergeCell ref="A91:B91"/>
    <mergeCell ref="A80:B80"/>
    <mergeCell ref="I80:J80"/>
    <mergeCell ref="A81:B81"/>
    <mergeCell ref="A82:B82"/>
    <mergeCell ref="A83:B83"/>
    <mergeCell ref="A85:B85"/>
    <mergeCell ref="A86:B86"/>
    <mergeCell ref="A87:B87"/>
    <mergeCell ref="A88:B88"/>
    <mergeCell ref="A89:B89"/>
    <mergeCell ref="A90:B90"/>
    <mergeCell ref="J78:J79"/>
    <mergeCell ref="A79:B79"/>
    <mergeCell ref="A57:B57"/>
    <mergeCell ref="A58:B58"/>
    <mergeCell ref="A59:B59"/>
    <mergeCell ref="A60:B60"/>
    <mergeCell ref="C72:H72"/>
    <mergeCell ref="A73:B73"/>
    <mergeCell ref="A74:B74"/>
    <mergeCell ref="A75:B75"/>
    <mergeCell ref="A76:B76"/>
    <mergeCell ref="J76:J77"/>
    <mergeCell ref="A77:B77"/>
    <mergeCell ref="A56:B56"/>
    <mergeCell ref="A43:B43"/>
    <mergeCell ref="A44:B44"/>
    <mergeCell ref="A45:B45"/>
    <mergeCell ref="A46:B46"/>
    <mergeCell ref="A47:B47"/>
    <mergeCell ref="A48:B48"/>
    <mergeCell ref="A49:B49"/>
    <mergeCell ref="A50:B50"/>
    <mergeCell ref="A51:B51"/>
    <mergeCell ref="A52:B52"/>
    <mergeCell ref="A53:B53"/>
    <mergeCell ref="A42:B42"/>
    <mergeCell ref="A25:B25"/>
    <mergeCell ref="A26:B26"/>
    <mergeCell ref="A27:B27"/>
    <mergeCell ref="B30:C30"/>
    <mergeCell ref="B31:C31"/>
    <mergeCell ref="B32:C32"/>
    <mergeCell ref="A37:B37"/>
    <mergeCell ref="A38:B38"/>
    <mergeCell ref="A39:B39"/>
    <mergeCell ref="A41:B41"/>
    <mergeCell ref="A24:B24"/>
    <mergeCell ref="A9:B9"/>
    <mergeCell ref="A10:B10"/>
    <mergeCell ref="A11:B11"/>
    <mergeCell ref="A13:B13"/>
    <mergeCell ref="A14:B14"/>
    <mergeCell ref="A15:B15"/>
    <mergeCell ref="A16:B16"/>
    <mergeCell ref="A18:B18"/>
    <mergeCell ref="A20:B20"/>
    <mergeCell ref="A21:B21"/>
    <mergeCell ref="A22:B22"/>
    <mergeCell ref="A8:B8"/>
    <mergeCell ref="C1:H1"/>
    <mergeCell ref="A3:B3"/>
    <mergeCell ref="A4:B4"/>
    <mergeCell ref="A5:B5"/>
    <mergeCell ref="A6:B6"/>
  </mergeCells>
  <dataValidations count="3">
    <dataValidation type="decimal" allowBlank="1" showInputMessage="1" showErrorMessage="1" error="Der eingegebene Wert ist unzulässig. Bitte geben Sie eine Zahl ein, die größer 0 ist." sqref="C3:H6 C8:H11 C13:H16 C18:H22 C24:H27 C38:H39 C41:H41 C43:H45 C47:H49 C52:H53 C57:H59 C75:H77 C79:H82 C86:H88 C90:H95" xr:uid="{00000000-0002-0000-0800-000000000000}">
      <formula1>0</formula1>
      <formula2>1000000</formula2>
    </dataValidation>
    <dataValidation type="list" allowBlank="1" showInputMessage="1" showErrorMessage="1" sqref="C74:H74" xr:uid="{00000000-0002-0000-0800-000001000000}">
      <formula1>".,ja,nein"</formula1>
    </dataValidation>
    <dataValidation allowBlank="1" showInputMessage="1" showErrorMessage="1" prompt="Bitte geben Sie das Datum im Format Monat Jahr ein (z.B. Beginn August 2012 = Aug 12)." sqref="J76:J79" xr:uid="{00000000-0002-0000-0800-000002000000}"/>
  </dataValidations>
  <pageMargins left="0.70866141732283472" right="0.70866141732283472" top="0.8666666666666667" bottom="0.78740157480314965" header="0.31496062992125984" footer="0.31496062992125984"/>
  <pageSetup paperSize="9" scale="98" orientation="landscape" r:id="rId1"/>
  <headerFooter>
    <oddHeader>&amp;L&amp;"Arial,Fett"&amp;U4. Ermittlung des anzurechnenden Einkommens des Kindes / der Kinder:
4.1. Einkommensermittlung Kind 3:&amp;R&amp;D</oddHeader>
    <oddFooter>&amp;R&amp;P</oddFooter>
  </headerFooter>
  <rowBreaks count="2" manualBreakCount="2">
    <brk id="32" max="16383" man="1"/>
    <brk id="67"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J132"/>
  <sheetViews>
    <sheetView showGridLines="0" zoomScaleNormal="100" workbookViewId="0">
      <selection activeCell="C18" sqref="C18"/>
    </sheetView>
  </sheetViews>
  <sheetFormatPr baseColWidth="10" defaultRowHeight="14.25" x14ac:dyDescent="0.2"/>
  <cols>
    <col min="1" max="16384" width="11" style="1"/>
  </cols>
  <sheetData>
    <row r="1" spans="1:10" ht="15" x14ac:dyDescent="0.25">
      <c r="A1" s="313"/>
      <c r="B1" s="240"/>
      <c r="C1" s="914" t="s">
        <v>251</v>
      </c>
      <c r="D1" s="914"/>
      <c r="E1" s="914"/>
      <c r="F1" s="914"/>
      <c r="G1" s="914"/>
      <c r="H1" s="914"/>
      <c r="I1" s="239"/>
      <c r="J1" s="239"/>
    </row>
    <row r="2" spans="1:10" ht="15" x14ac:dyDescent="0.25">
      <c r="A2" s="407" t="s">
        <v>29</v>
      </c>
      <c r="B2" s="408"/>
      <c r="C2" s="255" t="e">
        <f>EDATE(BG!D2,-6)</f>
        <v>#NUM!</v>
      </c>
      <c r="D2" s="255" t="e">
        <f>EDATE(BG!D2,-5)</f>
        <v>#NUM!</v>
      </c>
      <c r="E2" s="255" t="e">
        <f>EDATE(BG!D2,-4)</f>
        <v>#NUM!</v>
      </c>
      <c r="F2" s="255" t="e">
        <f>EDATE(BG!D2,-3)</f>
        <v>#NUM!</v>
      </c>
      <c r="G2" s="255" t="e">
        <f>EDATE(BG!D2,-2)</f>
        <v>#NUM!</v>
      </c>
      <c r="H2" s="255" t="e">
        <f>EDATE(BG!D2,-1)</f>
        <v>#NUM!</v>
      </c>
      <c r="I2" s="292"/>
      <c r="J2" s="292"/>
    </row>
    <row r="3" spans="1:10" x14ac:dyDescent="0.2">
      <c r="A3" s="892" t="s">
        <v>66</v>
      </c>
      <c r="B3" s="893"/>
      <c r="C3" s="297"/>
      <c r="D3" s="297"/>
      <c r="E3" s="297"/>
      <c r="F3" s="297"/>
      <c r="G3" s="297"/>
      <c r="H3" s="297"/>
      <c r="I3" s="294"/>
      <c r="J3" s="294"/>
    </row>
    <row r="4" spans="1:10" x14ac:dyDescent="0.2">
      <c r="A4" s="886" t="s">
        <v>38</v>
      </c>
      <c r="B4" s="887"/>
      <c r="C4" s="298"/>
      <c r="D4" s="298"/>
      <c r="E4" s="298"/>
      <c r="F4" s="298"/>
      <c r="G4" s="298"/>
      <c r="H4" s="298"/>
      <c r="I4" s="294"/>
      <c r="J4" s="294"/>
    </row>
    <row r="5" spans="1:10" x14ac:dyDescent="0.2">
      <c r="A5" s="888" t="s">
        <v>67</v>
      </c>
      <c r="B5" s="889"/>
      <c r="C5" s="317"/>
      <c r="D5" s="317"/>
      <c r="E5" s="317"/>
      <c r="F5" s="317"/>
      <c r="G5" s="317"/>
      <c r="H5" s="317"/>
      <c r="I5" s="294"/>
      <c r="J5" s="294"/>
    </row>
    <row r="6" spans="1:10" x14ac:dyDescent="0.2">
      <c r="A6" s="912" t="s">
        <v>68</v>
      </c>
      <c r="B6" s="913"/>
      <c r="C6" s="318"/>
      <c r="D6" s="318"/>
      <c r="E6" s="318"/>
      <c r="F6" s="318"/>
      <c r="G6" s="318"/>
      <c r="H6" s="318"/>
      <c r="I6" s="294"/>
      <c r="J6" s="294"/>
    </row>
    <row r="7" spans="1:10" x14ac:dyDescent="0.2">
      <c r="A7" s="319"/>
      <c r="B7" s="319"/>
      <c r="C7" s="143">
        <f t="shared" ref="C7:H7" si="0">IF((C3+C4)=0,0,IF(AND((C3-C5)&gt;=0,(C4-C6)&gt;=0),(C3+C4-C5-C6),IF(AND((C3-C5)&gt;0,(C4-C6)&lt;0),(C3-C5),IF(AND((C3-C5)&lt;0,(C4-C6)&gt;0),(C4-C6),IF((C3-C5)&gt;0,(C3-C5),IF((C3-C5)&lt;0,0))))))</f>
        <v>0</v>
      </c>
      <c r="D7" s="143">
        <f t="shared" si="0"/>
        <v>0</v>
      </c>
      <c r="E7" s="143">
        <f t="shared" si="0"/>
        <v>0</v>
      </c>
      <c r="F7" s="143">
        <f t="shared" si="0"/>
        <v>0</v>
      </c>
      <c r="G7" s="143">
        <f t="shared" si="0"/>
        <v>0</v>
      </c>
      <c r="H7" s="143">
        <f t="shared" si="0"/>
        <v>0</v>
      </c>
      <c r="I7" s="240"/>
      <c r="J7" s="240"/>
    </row>
    <row r="8" spans="1:10" x14ac:dyDescent="0.2">
      <c r="A8" s="933" t="s">
        <v>69</v>
      </c>
      <c r="B8" s="934"/>
      <c r="C8" s="297"/>
      <c r="D8" s="297"/>
      <c r="E8" s="297"/>
      <c r="F8" s="297"/>
      <c r="G8" s="297"/>
      <c r="H8" s="297"/>
      <c r="I8" s="294"/>
      <c r="J8" s="294"/>
    </row>
    <row r="9" spans="1:10" x14ac:dyDescent="0.2">
      <c r="A9" s="935" t="s">
        <v>38</v>
      </c>
      <c r="B9" s="936"/>
      <c r="C9" s="298"/>
      <c r="D9" s="298"/>
      <c r="E9" s="298"/>
      <c r="F9" s="298"/>
      <c r="G9" s="298"/>
      <c r="H9" s="298"/>
      <c r="I9" s="294"/>
      <c r="J9" s="294"/>
    </row>
    <row r="10" spans="1:10" x14ac:dyDescent="0.2">
      <c r="A10" s="888" t="s">
        <v>67</v>
      </c>
      <c r="B10" s="889"/>
      <c r="C10" s="297"/>
      <c r="D10" s="297"/>
      <c r="E10" s="297"/>
      <c r="F10" s="297"/>
      <c r="G10" s="297"/>
      <c r="H10" s="297"/>
      <c r="I10" s="294"/>
      <c r="J10" s="294"/>
    </row>
    <row r="11" spans="1:10" x14ac:dyDescent="0.2">
      <c r="A11" s="912" t="s">
        <v>68</v>
      </c>
      <c r="B11" s="913"/>
      <c r="C11" s="318"/>
      <c r="D11" s="318"/>
      <c r="E11" s="318"/>
      <c r="F11" s="318"/>
      <c r="G11" s="318"/>
      <c r="H11" s="318"/>
      <c r="I11" s="294"/>
      <c r="J11" s="294"/>
    </row>
    <row r="12" spans="1:10" x14ac:dyDescent="0.2">
      <c r="A12" s="321"/>
      <c r="B12" s="321"/>
      <c r="C12" s="143">
        <f t="shared" ref="C12:H12" si="1">IF((C8+C9)=0,0,IF(AND((C8-C10)&gt;=0,(C9-C11)&gt;=0),(C8+C9-C10-C11),IF(AND((C8-C10)&gt;0,(C9-C11)&lt;0),(C8-C10),IF(AND((C8-C10)&lt;0,(C9-C11)&gt;0),(C9-C11),IF((C8-C10)&gt;0,(C8-C10),IF((C8-C10)&lt;0,0))))))</f>
        <v>0</v>
      </c>
      <c r="D12" s="143">
        <f t="shared" si="1"/>
        <v>0</v>
      </c>
      <c r="E12" s="143">
        <f t="shared" si="1"/>
        <v>0</v>
      </c>
      <c r="F12" s="143">
        <f t="shared" si="1"/>
        <v>0</v>
      </c>
      <c r="G12" s="143">
        <f t="shared" si="1"/>
        <v>0</v>
      </c>
      <c r="H12" s="143">
        <f t="shared" si="1"/>
        <v>0</v>
      </c>
      <c r="I12" s="240"/>
      <c r="J12" s="240"/>
    </row>
    <row r="13" spans="1:10" x14ac:dyDescent="0.2">
      <c r="A13" s="892" t="s">
        <v>70</v>
      </c>
      <c r="B13" s="893"/>
      <c r="C13" s="297"/>
      <c r="D13" s="297"/>
      <c r="E13" s="297"/>
      <c r="F13" s="297"/>
      <c r="G13" s="297"/>
      <c r="H13" s="297"/>
      <c r="I13" s="294"/>
      <c r="J13" s="294"/>
    </row>
    <row r="14" spans="1:10" x14ac:dyDescent="0.2">
      <c r="A14" s="886" t="s">
        <v>38</v>
      </c>
      <c r="B14" s="887"/>
      <c r="C14" s="298"/>
      <c r="D14" s="298"/>
      <c r="E14" s="298"/>
      <c r="F14" s="298"/>
      <c r="G14" s="298"/>
      <c r="H14" s="298"/>
      <c r="I14" s="294"/>
      <c r="J14" s="294"/>
    </row>
    <row r="15" spans="1:10" x14ac:dyDescent="0.2">
      <c r="A15" s="888" t="s">
        <v>67</v>
      </c>
      <c r="B15" s="889"/>
      <c r="C15" s="323"/>
      <c r="D15" s="297"/>
      <c r="E15" s="297"/>
      <c r="F15" s="297"/>
      <c r="G15" s="297"/>
      <c r="H15" s="297"/>
      <c r="I15" s="294"/>
      <c r="J15" s="294"/>
    </row>
    <row r="16" spans="1:10" x14ac:dyDescent="0.2">
      <c r="A16" s="912" t="s">
        <v>68</v>
      </c>
      <c r="B16" s="913"/>
      <c r="C16" s="324"/>
      <c r="D16" s="325"/>
      <c r="E16" s="325"/>
      <c r="F16" s="325"/>
      <c r="G16" s="325"/>
      <c r="H16" s="325"/>
      <c r="I16" s="294"/>
      <c r="J16" s="294"/>
    </row>
    <row r="17" spans="1:10" x14ac:dyDescent="0.2">
      <c r="A17" s="321"/>
      <c r="B17" s="321"/>
      <c r="C17" s="143">
        <f t="shared" ref="C17:H17" si="2">IF((C13+C14)=0,0,IF(AND((C13-C15)&gt;=0,(C14-C16)&gt;=0),(C13+C14-C15-C16),IF(AND((C13-C15)&gt;0,(C14-C16)&lt;0),(C13-C15),IF(AND((C13-C15)&lt;0,(C14-C16)&gt;0),(C14-C16),IF((C13-C15)&gt;0,(C13-C15),IF((C13-C15)&lt;0,0))))))</f>
        <v>0</v>
      </c>
      <c r="D17" s="143">
        <f t="shared" si="2"/>
        <v>0</v>
      </c>
      <c r="E17" s="143">
        <f t="shared" si="2"/>
        <v>0</v>
      </c>
      <c r="F17" s="143">
        <f t="shared" si="2"/>
        <v>0</v>
      </c>
      <c r="G17" s="143">
        <f t="shared" si="2"/>
        <v>0</v>
      </c>
      <c r="H17" s="143">
        <f t="shared" si="2"/>
        <v>0</v>
      </c>
      <c r="I17" s="240"/>
      <c r="J17" s="240"/>
    </row>
    <row r="18" spans="1:10" x14ac:dyDescent="0.2">
      <c r="A18" s="892" t="s">
        <v>516</v>
      </c>
      <c r="B18" s="893"/>
      <c r="C18" s="328"/>
      <c r="D18" s="328"/>
      <c r="E18" s="328"/>
      <c r="F18" s="328"/>
      <c r="G18" s="328"/>
      <c r="H18" s="328"/>
      <c r="I18" s="294"/>
      <c r="J18" s="294"/>
    </row>
    <row r="19" spans="1:10" x14ac:dyDescent="0.2">
      <c r="A19" s="607"/>
      <c r="B19" s="608" t="s">
        <v>517</v>
      </c>
      <c r="C19" s="609"/>
      <c r="D19" s="609"/>
      <c r="E19" s="609"/>
      <c r="F19" s="609"/>
      <c r="G19" s="609"/>
      <c r="H19" s="609"/>
      <c r="I19" s="294"/>
      <c r="J19" s="294"/>
    </row>
    <row r="20" spans="1:10" x14ac:dyDescent="0.2">
      <c r="A20" s="886" t="s">
        <v>515</v>
      </c>
      <c r="B20" s="887"/>
      <c r="C20" s="362"/>
      <c r="D20" s="362"/>
      <c r="E20" s="362"/>
      <c r="F20" s="362"/>
      <c r="G20" s="362"/>
      <c r="H20" s="362"/>
      <c r="I20" s="294"/>
      <c r="J20" s="294"/>
    </row>
    <row r="21" spans="1:10" x14ac:dyDescent="0.2">
      <c r="A21" s="888" t="s">
        <v>67</v>
      </c>
      <c r="B21" s="889"/>
      <c r="C21" s="323"/>
      <c r="D21" s="328"/>
      <c r="E21" s="328"/>
      <c r="F21" s="328"/>
      <c r="G21" s="328"/>
      <c r="H21" s="328"/>
      <c r="I21" s="294"/>
      <c r="J21" s="294"/>
    </row>
    <row r="22" spans="1:10" x14ac:dyDescent="0.2">
      <c r="A22" s="912" t="s">
        <v>68</v>
      </c>
      <c r="B22" s="913"/>
      <c r="C22" s="329"/>
      <c r="D22" s="318"/>
      <c r="E22" s="318"/>
      <c r="F22" s="318"/>
      <c r="G22" s="318"/>
      <c r="H22" s="318"/>
      <c r="I22" s="294"/>
      <c r="J22" s="294"/>
    </row>
    <row r="23" spans="1:10" s="614" customFormat="1" x14ac:dyDescent="0.2">
      <c r="A23" s="615"/>
      <c r="B23" s="615"/>
      <c r="C23" s="143">
        <f>IF((C18+C19+C20)=0,0,IF(AND((C18+C19-C21)&gt;=0,(C20-C22)&gt;=0),(C18+C19+C20-C21-C22),IF(AND((C18+C19-C21)&gt;0,(C20-C22)&lt;0),(C18+C19-C21),IF(AND((C18+C19-C21)&lt;0,(C20-C22)&gt;0),(C20-C22),IF((C18+C19-C21)&gt;0,(C18+C19-C21),IF((C18+C19-C21)&lt;0,0))))))</f>
        <v>0</v>
      </c>
      <c r="D23" s="143">
        <f t="shared" ref="D23:H23" si="3">IF((D18+D19+D20)=0,0,IF(AND((D18+D19-D21)&gt;=0,(D20-D22)&gt;=0),(D18+D19+D20-D21-D22),IF(AND((D18+D19-D21)&gt;0,(D20-D22)&lt;0),(D18+D19-D21),IF(AND((D18+D19-D21)&lt;0,(D20-D22)&gt;0),(D20-D22),IF((D18+D19-D21)&gt;0,(D18+D19-D21),IF((D18+D19-D21)&lt;0,0))))))</f>
        <v>0</v>
      </c>
      <c r="E23" s="143">
        <f t="shared" si="3"/>
        <v>0</v>
      </c>
      <c r="F23" s="143">
        <f t="shared" si="3"/>
        <v>0</v>
      </c>
      <c r="G23" s="143">
        <f t="shared" si="3"/>
        <v>0</v>
      </c>
      <c r="H23" s="143">
        <f t="shared" si="3"/>
        <v>0</v>
      </c>
      <c r="I23" s="81"/>
      <c r="J23" s="81"/>
    </row>
    <row r="24" spans="1:10" x14ac:dyDescent="0.2">
      <c r="A24" s="892" t="s">
        <v>71</v>
      </c>
      <c r="B24" s="893"/>
      <c r="C24" s="297"/>
      <c r="D24" s="297"/>
      <c r="E24" s="297"/>
      <c r="F24" s="297"/>
      <c r="G24" s="297"/>
      <c r="H24" s="297"/>
      <c r="I24" s="294"/>
      <c r="J24" s="294"/>
    </row>
    <row r="25" spans="1:10" x14ac:dyDescent="0.2">
      <c r="A25" s="886" t="s">
        <v>38</v>
      </c>
      <c r="B25" s="887"/>
      <c r="C25" s="298"/>
      <c r="D25" s="298"/>
      <c r="E25" s="298"/>
      <c r="F25" s="298"/>
      <c r="G25" s="298"/>
      <c r="H25" s="298"/>
      <c r="I25" s="294"/>
      <c r="J25" s="294"/>
    </row>
    <row r="26" spans="1:10" x14ac:dyDescent="0.2">
      <c r="A26" s="888" t="s">
        <v>67</v>
      </c>
      <c r="B26" s="889"/>
      <c r="C26" s="323"/>
      <c r="D26" s="297"/>
      <c r="E26" s="297"/>
      <c r="F26" s="297"/>
      <c r="G26" s="297"/>
      <c r="H26" s="297"/>
      <c r="I26" s="294"/>
      <c r="J26" s="294"/>
    </row>
    <row r="27" spans="1:10" x14ac:dyDescent="0.2">
      <c r="A27" s="890" t="s">
        <v>68</v>
      </c>
      <c r="B27" s="891"/>
      <c r="C27" s="329"/>
      <c r="D27" s="318"/>
      <c r="E27" s="318"/>
      <c r="F27" s="318"/>
      <c r="G27" s="318"/>
      <c r="H27" s="318"/>
      <c r="I27" s="294"/>
      <c r="J27" s="294"/>
    </row>
    <row r="28" spans="1:10" x14ac:dyDescent="0.2">
      <c r="A28" s="331"/>
      <c r="B28" s="330"/>
      <c r="C28" s="144">
        <f t="shared" ref="C28:H28" si="4">IF((C24+C25)=0,0,IF(AND((C24-C26)&gt;=0,(C25-C27)&gt;=0),(C24+C25-C26-C27),IF(AND((C24-C26)&gt;0,(C25-C27)&lt;0),(C24-C26),IF(AND((C24-C26)&lt;0,(C25-C27)&gt;0),(C25-C27),IF((C24-C26)&gt;0,(C24-C26),IF((C24-C26)&lt;0,0))))))</f>
        <v>0</v>
      </c>
      <c r="D28" s="144">
        <f t="shared" si="4"/>
        <v>0</v>
      </c>
      <c r="E28" s="144">
        <f t="shared" si="4"/>
        <v>0</v>
      </c>
      <c r="F28" s="144">
        <f t="shared" si="4"/>
        <v>0</v>
      </c>
      <c r="G28" s="144">
        <f t="shared" si="4"/>
        <v>0</v>
      </c>
      <c r="H28" s="144">
        <f t="shared" si="4"/>
        <v>0</v>
      </c>
      <c r="I28" s="239"/>
      <c r="J28" s="239"/>
    </row>
    <row r="29" spans="1:10" s="614" customFormat="1" x14ac:dyDescent="0.2">
      <c r="A29" s="1061"/>
      <c r="B29" s="1061"/>
      <c r="C29" s="617">
        <f>IF(AND(C18&gt;0,AS!C53&gt;0),C18,0)</f>
        <v>0</v>
      </c>
      <c r="D29" s="617">
        <f>IF(AND(D18&gt;0,AS!D53&gt;0),D18,0)</f>
        <v>0</v>
      </c>
      <c r="E29" s="617">
        <f>IF(AND(E18&gt;0,AS!E53&gt;0),E18,0)</f>
        <v>0</v>
      </c>
      <c r="F29" s="617">
        <f>IF(AND(F18&gt;0,AS!F53&gt;0),F18,0)</f>
        <v>0</v>
      </c>
      <c r="G29" s="617">
        <f>IF(AND(G18&gt;0,AS!G53&gt;0),G18,0)</f>
        <v>0</v>
      </c>
      <c r="H29" s="617">
        <f>IF(AND(H18&gt;0,AS!H53&gt;0),H18,0)</f>
        <v>0</v>
      </c>
      <c r="I29" s="84"/>
      <c r="J29" s="613"/>
    </row>
    <row r="30" spans="1:10" x14ac:dyDescent="0.2">
      <c r="A30" s="239"/>
      <c r="B30" s="1044"/>
      <c r="C30" s="1044"/>
      <c r="D30" s="409"/>
      <c r="E30" s="409"/>
      <c r="F30" s="409"/>
      <c r="G30" s="409"/>
      <c r="H30" s="409"/>
      <c r="I30" s="409"/>
      <c r="J30" s="239"/>
    </row>
    <row r="31" spans="1:10" x14ac:dyDescent="0.2">
      <c r="A31" s="239"/>
      <c r="B31" s="1045"/>
      <c r="C31" s="1045"/>
      <c r="D31" s="334"/>
      <c r="E31" s="334"/>
      <c r="F31" s="334"/>
      <c r="G31" s="334"/>
      <c r="H31" s="334"/>
      <c r="I31" s="334"/>
      <c r="J31" s="239"/>
    </row>
    <row r="32" spans="1:10" x14ac:dyDescent="0.2">
      <c r="A32" s="239"/>
      <c r="B32" s="1045"/>
      <c r="C32" s="1045"/>
      <c r="D32" s="334"/>
      <c r="E32" s="334"/>
      <c r="F32" s="334"/>
      <c r="G32" s="334"/>
      <c r="H32" s="334"/>
      <c r="I32" s="334"/>
      <c r="J32" s="239"/>
    </row>
    <row r="33" spans="1:10" x14ac:dyDescent="0.2">
      <c r="A33" s="239"/>
      <c r="B33" s="332"/>
      <c r="C33" s="332"/>
      <c r="D33" s="334"/>
      <c r="E33" s="334"/>
      <c r="F33" s="334"/>
      <c r="G33" s="334"/>
      <c r="H33" s="334"/>
      <c r="I33" s="334"/>
      <c r="J33" s="239"/>
    </row>
    <row r="34" spans="1:10" x14ac:dyDescent="0.2">
      <c r="A34" s="239"/>
      <c r="B34" s="239"/>
      <c r="C34" s="239"/>
      <c r="D34" s="239"/>
      <c r="E34" s="239"/>
      <c r="F34" s="239"/>
      <c r="G34" s="239"/>
      <c r="H34" s="239"/>
      <c r="I34" s="239"/>
      <c r="J34" s="239"/>
    </row>
    <row r="35" spans="1:10" x14ac:dyDescent="0.2">
      <c r="A35" s="239"/>
      <c r="B35" s="239"/>
      <c r="C35" s="239"/>
      <c r="D35" s="239"/>
      <c r="E35" s="239"/>
      <c r="F35" s="239"/>
      <c r="G35" s="239"/>
      <c r="H35" s="239"/>
      <c r="I35" s="239"/>
      <c r="J35" s="239"/>
    </row>
    <row r="36" spans="1:10" x14ac:dyDescent="0.2">
      <c r="A36" s="239"/>
      <c r="B36" s="239"/>
      <c r="C36" s="239"/>
      <c r="D36" s="239"/>
      <c r="E36" s="239"/>
      <c r="F36" s="239"/>
      <c r="G36" s="239"/>
      <c r="H36" s="239"/>
      <c r="I36" s="239"/>
      <c r="J36" s="239"/>
    </row>
    <row r="37" spans="1:10" ht="15" x14ac:dyDescent="0.25">
      <c r="A37" s="931" t="s">
        <v>29</v>
      </c>
      <c r="B37" s="932"/>
      <c r="C37" s="255" t="e">
        <f>EDATE(BG!D2,-6)</f>
        <v>#NUM!</v>
      </c>
      <c r="D37" s="255" t="e">
        <f>EDATE(BG!D2,-5)</f>
        <v>#NUM!</v>
      </c>
      <c r="E37" s="255" t="e">
        <f>EDATE(BG!D2,-4)</f>
        <v>#NUM!</v>
      </c>
      <c r="F37" s="255" t="e">
        <f>EDATE(BG!D2,-3)</f>
        <v>#NUM!</v>
      </c>
      <c r="G37" s="255" t="e">
        <f>EDATE(BG!D2,-2)</f>
        <v>#NUM!</v>
      </c>
      <c r="H37" s="255" t="e">
        <f>EDATE(BG!D2,-1)</f>
        <v>#NUM!</v>
      </c>
      <c r="I37" s="292"/>
      <c r="J37" s="292"/>
    </row>
    <row r="38" spans="1:10" x14ac:dyDescent="0.2">
      <c r="A38" s="896" t="s">
        <v>73</v>
      </c>
      <c r="B38" s="897"/>
      <c r="C38" s="333"/>
      <c r="D38" s="333"/>
      <c r="E38" s="333"/>
      <c r="F38" s="333"/>
      <c r="G38" s="333"/>
      <c r="H38" s="333"/>
      <c r="I38" s="294"/>
      <c r="J38" s="294"/>
    </row>
    <row r="39" spans="1:10" x14ac:dyDescent="0.2">
      <c r="A39" s="868" t="s">
        <v>74</v>
      </c>
      <c r="B39" s="869"/>
      <c r="C39" s="333"/>
      <c r="D39" s="333"/>
      <c r="E39" s="333"/>
      <c r="F39" s="333"/>
      <c r="G39" s="333"/>
      <c r="H39" s="333"/>
      <c r="I39" s="294"/>
      <c r="J39" s="294"/>
    </row>
    <row r="40" spans="1:10" x14ac:dyDescent="0.2">
      <c r="A40" s="239"/>
      <c r="B40" s="239"/>
      <c r="C40" s="239"/>
      <c r="D40" s="239"/>
      <c r="E40" s="239"/>
      <c r="F40" s="239"/>
      <c r="G40" s="239"/>
      <c r="H40" s="239"/>
      <c r="I40" s="240"/>
      <c r="J40" s="240"/>
    </row>
    <row r="41" spans="1:10" x14ac:dyDescent="0.2">
      <c r="A41" s="1046" t="s">
        <v>252</v>
      </c>
      <c r="B41" s="1047"/>
      <c r="C41" s="363"/>
      <c r="D41" s="363"/>
      <c r="E41" s="363"/>
      <c r="F41" s="363"/>
      <c r="G41" s="363"/>
      <c r="H41" s="363"/>
      <c r="I41" s="294"/>
      <c r="J41" s="294"/>
    </row>
    <row r="42" spans="1:10" x14ac:dyDescent="0.2">
      <c r="A42" s="1042" t="s">
        <v>313</v>
      </c>
      <c r="B42" s="1043"/>
      <c r="C42" s="294"/>
      <c r="D42" s="294"/>
      <c r="E42" s="294"/>
      <c r="F42" s="294"/>
      <c r="G42" s="294"/>
      <c r="H42" s="410"/>
      <c r="I42" s="240"/>
      <c r="J42" s="240"/>
    </row>
    <row r="43" spans="1:10" x14ac:dyDescent="0.2">
      <c r="A43" s="884" t="s">
        <v>314</v>
      </c>
      <c r="B43" s="885"/>
      <c r="C43" s="336"/>
      <c r="D43" s="336"/>
      <c r="E43" s="336"/>
      <c r="F43" s="336"/>
      <c r="G43" s="336"/>
      <c r="H43" s="336"/>
      <c r="I43" s="294"/>
      <c r="J43" s="294"/>
    </row>
    <row r="44" spans="1:10" x14ac:dyDescent="0.2">
      <c r="A44" s="880" t="s">
        <v>495</v>
      </c>
      <c r="B44" s="881"/>
      <c r="C44" s="339"/>
      <c r="D44" s="339"/>
      <c r="E44" s="339"/>
      <c r="F44" s="339"/>
      <c r="G44" s="339"/>
      <c r="H44" s="339"/>
      <c r="I44" s="294"/>
      <c r="J44" s="294"/>
    </row>
    <row r="45" spans="1:10" x14ac:dyDescent="0.2">
      <c r="A45" s="882" t="s">
        <v>316</v>
      </c>
      <c r="B45" s="883"/>
      <c r="C45" s="339"/>
      <c r="D45" s="339"/>
      <c r="E45" s="339"/>
      <c r="F45" s="339"/>
      <c r="G45" s="339"/>
      <c r="H45" s="339"/>
      <c r="I45" s="294"/>
      <c r="J45" s="294"/>
    </row>
    <row r="46" spans="1:10" x14ac:dyDescent="0.2">
      <c r="A46" s="870" t="s">
        <v>317</v>
      </c>
      <c r="B46" s="871"/>
      <c r="C46" s="340" t="e">
        <f t="shared" ref="C46:H46" si="5">IF(AND(C96=0,C41&gt;0,C61&gt;17),30,0)</f>
        <v>#NUM!</v>
      </c>
      <c r="D46" s="340" t="e">
        <f t="shared" si="5"/>
        <v>#NUM!</v>
      </c>
      <c r="E46" s="340" t="e">
        <f t="shared" si="5"/>
        <v>#NUM!</v>
      </c>
      <c r="F46" s="340" t="e">
        <f t="shared" si="5"/>
        <v>#NUM!</v>
      </c>
      <c r="G46" s="340" t="e">
        <f t="shared" si="5"/>
        <v>#NUM!</v>
      </c>
      <c r="H46" s="340" t="e">
        <f t="shared" si="5"/>
        <v>#NUM!</v>
      </c>
      <c r="I46" s="240"/>
      <c r="J46" s="240"/>
    </row>
    <row r="47" spans="1:10" x14ac:dyDescent="0.2">
      <c r="A47" s="872" t="s">
        <v>58</v>
      </c>
      <c r="B47" s="872"/>
      <c r="C47" s="364"/>
      <c r="D47" s="364"/>
      <c r="E47" s="364"/>
      <c r="F47" s="364"/>
      <c r="G47" s="364"/>
      <c r="H47" s="364"/>
      <c r="I47" s="294"/>
      <c r="J47" s="294"/>
    </row>
    <row r="48" spans="1:10" x14ac:dyDescent="0.2">
      <c r="A48" s="873" t="s">
        <v>318</v>
      </c>
      <c r="B48" s="874"/>
      <c r="C48" s="336"/>
      <c r="D48" s="336"/>
      <c r="E48" s="336"/>
      <c r="F48" s="336"/>
      <c r="G48" s="336"/>
      <c r="H48" s="336"/>
      <c r="I48" s="294"/>
      <c r="J48" s="294"/>
    </row>
    <row r="49" spans="1:10" x14ac:dyDescent="0.2">
      <c r="A49" s="810" t="s">
        <v>319</v>
      </c>
      <c r="B49" s="810"/>
      <c r="C49" s="337"/>
      <c r="D49" s="337"/>
      <c r="E49" s="337"/>
      <c r="F49" s="337"/>
      <c r="G49" s="337"/>
      <c r="H49" s="337"/>
      <c r="I49" s="294"/>
      <c r="J49" s="294"/>
    </row>
    <row r="50" spans="1:10" x14ac:dyDescent="0.2">
      <c r="A50" s="810" t="s">
        <v>320</v>
      </c>
      <c r="B50" s="810"/>
      <c r="C50" s="287">
        <f t="shared" ref="C50:H50" si="6">IF(C41=ISBLANK(0),0,IF(C96&gt;0,SUM(C43:C49),IF(C96=0,IF(SUM(C43:C49)&lt;100,100,SUM(C43:C49)))))</f>
        <v>0</v>
      </c>
      <c r="D50" s="287">
        <f t="shared" si="6"/>
        <v>0</v>
      </c>
      <c r="E50" s="287">
        <f t="shared" si="6"/>
        <v>0</v>
      </c>
      <c r="F50" s="287">
        <f t="shared" si="6"/>
        <v>0</v>
      </c>
      <c r="G50" s="287">
        <f t="shared" si="6"/>
        <v>0</v>
      </c>
      <c r="H50" s="287">
        <f t="shared" si="6"/>
        <v>0</v>
      </c>
      <c r="I50" s="294"/>
      <c r="J50" s="294"/>
    </row>
    <row r="51" spans="1:10" x14ac:dyDescent="0.2">
      <c r="A51" s="810" t="s">
        <v>322</v>
      </c>
      <c r="B51" s="810"/>
      <c r="C51" s="287">
        <f t="shared" ref="C51:H51" si="7">IF(C41-C50&lt;0,0,C41-C50)</f>
        <v>0</v>
      </c>
      <c r="D51" s="287">
        <f t="shared" si="7"/>
        <v>0</v>
      </c>
      <c r="E51" s="287">
        <f t="shared" si="7"/>
        <v>0</v>
      </c>
      <c r="F51" s="287">
        <f t="shared" si="7"/>
        <v>0</v>
      </c>
      <c r="G51" s="287">
        <f t="shared" si="7"/>
        <v>0</v>
      </c>
      <c r="H51" s="287">
        <f t="shared" si="7"/>
        <v>0</v>
      </c>
      <c r="I51" s="240"/>
      <c r="J51" s="240"/>
    </row>
    <row r="52" spans="1:10" x14ac:dyDescent="0.2">
      <c r="A52" s="866" t="s">
        <v>321</v>
      </c>
      <c r="B52" s="867"/>
      <c r="C52" s="365"/>
      <c r="D52" s="365"/>
      <c r="E52" s="365"/>
      <c r="F52" s="365"/>
      <c r="G52" s="365"/>
      <c r="H52" s="365"/>
      <c r="I52" s="294"/>
      <c r="J52" s="294"/>
    </row>
    <row r="53" spans="1:10" x14ac:dyDescent="0.2">
      <c r="A53" s="868" t="s">
        <v>68</v>
      </c>
      <c r="B53" s="869"/>
      <c r="C53" s="333"/>
      <c r="D53" s="333"/>
      <c r="E53" s="333"/>
      <c r="F53" s="333"/>
      <c r="G53" s="333"/>
      <c r="H53" s="333"/>
      <c r="I53" s="294"/>
      <c r="J53" s="294"/>
    </row>
    <row r="54" spans="1:10" x14ac:dyDescent="0.2">
      <c r="A54" s="239"/>
      <c r="B54" s="239"/>
      <c r="C54" s="93">
        <f t="shared" ref="C54:H54" si="8">IF((C52-C53)&lt;0,0,(C52-C53))</f>
        <v>0</v>
      </c>
      <c r="D54" s="93">
        <f t="shared" si="8"/>
        <v>0</v>
      </c>
      <c r="E54" s="93">
        <f t="shared" si="8"/>
        <v>0</v>
      </c>
      <c r="F54" s="93">
        <f t="shared" si="8"/>
        <v>0</v>
      </c>
      <c r="G54" s="93">
        <f t="shared" si="8"/>
        <v>0</v>
      </c>
      <c r="H54" s="93">
        <f t="shared" si="8"/>
        <v>0</v>
      </c>
      <c r="I54" s="240"/>
      <c r="J54" s="240"/>
    </row>
    <row r="55" spans="1:10" x14ac:dyDescent="0.2">
      <c r="A55" s="239"/>
      <c r="B55" s="239"/>
      <c r="C55" s="93">
        <f t="shared" ref="C55:H55" si="9">IF(C38-C39&lt;0,0,C38-C39)</f>
        <v>0</v>
      </c>
      <c r="D55" s="93">
        <f t="shared" si="9"/>
        <v>0</v>
      </c>
      <c r="E55" s="93">
        <f t="shared" si="9"/>
        <v>0</v>
      </c>
      <c r="F55" s="93">
        <f t="shared" si="9"/>
        <v>0</v>
      </c>
      <c r="G55" s="93">
        <f t="shared" si="9"/>
        <v>0</v>
      </c>
      <c r="H55" s="93">
        <f t="shared" si="9"/>
        <v>0</v>
      </c>
      <c r="I55" s="240"/>
      <c r="J55" s="240"/>
    </row>
    <row r="56" spans="1:10" ht="15" x14ac:dyDescent="0.25">
      <c r="A56" s="902" t="s">
        <v>75</v>
      </c>
      <c r="B56" s="902"/>
      <c r="C56" s="342" t="s">
        <v>323</v>
      </c>
      <c r="D56" s="309"/>
      <c r="E56" s="309"/>
      <c r="F56" s="309"/>
      <c r="G56" s="309"/>
      <c r="H56" s="309"/>
      <c r="I56" s="240"/>
      <c r="J56" s="240"/>
    </row>
    <row r="57" spans="1:10" x14ac:dyDescent="0.2">
      <c r="A57" s="903" t="s">
        <v>56</v>
      </c>
      <c r="B57" s="903"/>
      <c r="C57" s="308"/>
      <c r="D57" s="308"/>
      <c r="E57" s="308"/>
      <c r="F57" s="308"/>
      <c r="G57" s="308"/>
      <c r="H57" s="308"/>
      <c r="I57" s="294"/>
      <c r="J57" s="294"/>
    </row>
    <row r="58" spans="1:10" x14ac:dyDescent="0.2">
      <c r="A58" s="903" t="s">
        <v>57</v>
      </c>
      <c r="B58" s="903"/>
      <c r="C58" s="308"/>
      <c r="D58" s="308"/>
      <c r="E58" s="308"/>
      <c r="F58" s="308"/>
      <c r="G58" s="308"/>
      <c r="H58" s="308"/>
      <c r="I58" s="294"/>
      <c r="J58" s="294"/>
    </row>
    <row r="59" spans="1:10" x14ac:dyDescent="0.2">
      <c r="A59" s="903" t="s">
        <v>58</v>
      </c>
      <c r="B59" s="903"/>
      <c r="C59" s="308"/>
      <c r="D59" s="308"/>
      <c r="E59" s="308"/>
      <c r="F59" s="308"/>
      <c r="G59" s="308"/>
      <c r="H59" s="308"/>
      <c r="I59" s="294"/>
      <c r="J59" s="294"/>
    </row>
    <row r="60" spans="1:10" x14ac:dyDescent="0.2">
      <c r="A60" s="903" t="s">
        <v>76</v>
      </c>
      <c r="B60" s="903"/>
      <c r="C60" s="343">
        <f>IF(C61&lt;18,0,IF(C46=30,0,IF((C75+C76+H78)&gt;0,0,IF(C96=0,30,IF(C96&gt;0,0)))))</f>
        <v>0</v>
      </c>
      <c r="D60" s="343">
        <f>IF(D61&lt;18,0,IF(D46=30,0,IF((D75+D76+H78)&gt;0,0,IF(D96=0,30,IF(D96&gt;0,0)))))</f>
        <v>0</v>
      </c>
      <c r="E60" s="343">
        <f>IF(E61&lt;18,0,IF(E46=30,0,IF((E75+E76+H78)&gt;0,0,IF(E96=0,30,IF(E96&gt;0,0)))))</f>
        <v>0</v>
      </c>
      <c r="F60" s="343">
        <f>IF(F61&lt;18,0,IF(F46=30,0,IF((F75+F76+H78)&gt;0,0,IF(F96=0,30,IF(F96&gt;0,0)))))</f>
        <v>0</v>
      </c>
      <c r="G60" s="343">
        <f>IF(G61&lt;18,0,IF(G46=30,0,IF((G75+G76+H78)&gt;0,0,IF(G96=0,30,IF(G96&gt;0,0)))))</f>
        <v>0</v>
      </c>
      <c r="H60" s="343">
        <f>IF(H61&lt;18,0,IF(H46=30,0,IF((H75+H76+H78)&gt;0,0,IF(H96=0,30,IF(H96&gt;0,0)))))</f>
        <v>0</v>
      </c>
      <c r="I60" s="239"/>
      <c r="J60" s="239"/>
    </row>
    <row r="61" spans="1:10" x14ac:dyDescent="0.2">
      <c r="A61" s="239"/>
      <c r="B61" s="239"/>
      <c r="C61" s="84">
        <f>IF(BG!$C$24=ISBLANK(0),0,IF(INT((C37-BG!$C$24)/365.25)&lt;0,0,INT((C37-BG!$C$24)/365.25)))</f>
        <v>0</v>
      </c>
      <c r="D61" s="84">
        <f>IF(BG!$C$24=ISBLANK(0),0,IF(INT((D37-BG!$C$24)/365.25)&lt;0,0,INT((D37-BG!$C$24)/365.25)))</f>
        <v>0</v>
      </c>
      <c r="E61" s="84">
        <f>IF(BG!$C$24=ISBLANK(0),0,IF(INT((E37-BG!$C$24)/365.25)&lt;0,0,INT((E37-BG!$C$24)/365.25)))</f>
        <v>0</v>
      </c>
      <c r="F61" s="84">
        <f>IF(BG!$C$24=ISBLANK(0),0,IF(INT((F37-BG!$C$24)/365.25)&lt;0,0,INT((F37-BG!$C$24)/365.25)))</f>
        <v>0</v>
      </c>
      <c r="G61" s="84">
        <f>IF(BG!$C$24=ISBLANK(0),0,IF(INT((G37-BG!$C$24)/365.25)&lt;0,0,INT((G37-BG!$C$24)/365.25)))</f>
        <v>0</v>
      </c>
      <c r="H61" s="84">
        <f>IF(BG!$C$24=ISBLANK(0),0,IF(INT((H37-BG!$C$24)/365.25)&lt;0,0,INT((H37-BG!$C$24)/365.25)))</f>
        <v>0</v>
      </c>
      <c r="I61" s="239"/>
      <c r="J61" s="239"/>
    </row>
    <row r="62" spans="1:10" x14ac:dyDescent="0.2">
      <c r="A62" s="241"/>
      <c r="B62" s="344" t="s">
        <v>77</v>
      </c>
      <c r="C62" s="97">
        <f t="shared" ref="C62:H62" si="10">C7+C12+C17+C23+C28+C51+C54+C55</f>
        <v>0</v>
      </c>
      <c r="D62" s="97">
        <f t="shared" si="10"/>
        <v>0</v>
      </c>
      <c r="E62" s="97">
        <f t="shared" si="10"/>
        <v>0</v>
      </c>
      <c r="F62" s="97">
        <f t="shared" si="10"/>
        <v>0</v>
      </c>
      <c r="G62" s="97">
        <f t="shared" si="10"/>
        <v>0</v>
      </c>
      <c r="H62" s="97">
        <f t="shared" si="10"/>
        <v>0</v>
      </c>
      <c r="I62" s="258" t="s">
        <v>48</v>
      </c>
      <c r="J62" s="239"/>
    </row>
    <row r="63" spans="1:10" x14ac:dyDescent="0.2">
      <c r="A63" s="345"/>
      <c r="B63" s="346" t="s">
        <v>78</v>
      </c>
      <c r="C63" s="106">
        <f t="shared" ref="C63:H63" si="11">SUM(C57:C60)</f>
        <v>0</v>
      </c>
      <c r="D63" s="106">
        <f t="shared" si="11"/>
        <v>0</v>
      </c>
      <c r="E63" s="106">
        <f t="shared" si="11"/>
        <v>0</v>
      </c>
      <c r="F63" s="106">
        <f t="shared" si="11"/>
        <v>0</v>
      </c>
      <c r="G63" s="106">
        <f t="shared" si="11"/>
        <v>0</v>
      </c>
      <c r="H63" s="106">
        <f t="shared" si="11"/>
        <v>0</v>
      </c>
      <c r="I63" s="347"/>
      <c r="J63" s="239"/>
    </row>
    <row r="64" spans="1:10" x14ac:dyDescent="0.2">
      <c r="A64" s="281"/>
      <c r="B64" s="348" t="s">
        <v>79</v>
      </c>
      <c r="C64" s="296">
        <f t="shared" ref="C64:H64" si="12">IF((C62-C63)&lt;0,0,(C62-C63))</f>
        <v>0</v>
      </c>
      <c r="D64" s="296">
        <f t="shared" si="12"/>
        <v>0</v>
      </c>
      <c r="E64" s="296">
        <f t="shared" si="12"/>
        <v>0</v>
      </c>
      <c r="F64" s="296">
        <f t="shared" si="12"/>
        <v>0</v>
      </c>
      <c r="G64" s="296">
        <f t="shared" si="12"/>
        <v>0</v>
      </c>
      <c r="H64" s="296">
        <f t="shared" si="12"/>
        <v>0</v>
      </c>
      <c r="I64" s="287">
        <f>SUM(C64:H64)</f>
        <v>0</v>
      </c>
      <c r="J64" s="239"/>
    </row>
    <row r="65" spans="1:10" x14ac:dyDescent="0.2">
      <c r="A65" s="239"/>
      <c r="B65" s="239"/>
      <c r="C65" s="239"/>
      <c r="D65" s="239"/>
      <c r="E65" s="239"/>
      <c r="F65" s="239"/>
      <c r="G65" s="239"/>
      <c r="H65" s="239"/>
      <c r="I65" s="239"/>
      <c r="J65" s="239"/>
    </row>
    <row r="66" spans="1:10" x14ac:dyDescent="0.2">
      <c r="A66" s="239"/>
      <c r="B66" s="239"/>
      <c r="C66" s="239"/>
      <c r="D66" s="239"/>
      <c r="E66" s="239"/>
      <c r="F66" s="239"/>
      <c r="G66" s="239"/>
      <c r="H66" s="239"/>
      <c r="I66" s="239"/>
      <c r="J66" s="239"/>
    </row>
    <row r="67" spans="1:10" x14ac:dyDescent="0.2">
      <c r="A67" s="239"/>
      <c r="B67" s="239"/>
      <c r="C67" s="239"/>
      <c r="D67" s="239"/>
      <c r="E67" s="239"/>
      <c r="F67" s="239"/>
      <c r="G67" s="239"/>
      <c r="H67" s="239"/>
      <c r="I67" s="239"/>
      <c r="J67" s="239"/>
    </row>
    <row r="68" spans="1:10" x14ac:dyDescent="0.2">
      <c r="A68" s="239"/>
      <c r="B68" s="239"/>
      <c r="C68" s="239"/>
      <c r="D68" s="239"/>
      <c r="E68" s="239"/>
      <c r="F68" s="239"/>
      <c r="G68" s="239"/>
      <c r="H68" s="239"/>
      <c r="I68" s="239"/>
      <c r="J68" s="239"/>
    </row>
    <row r="69" spans="1:10" x14ac:dyDescent="0.2">
      <c r="A69" s="239"/>
      <c r="B69" s="239"/>
      <c r="C69" s="239"/>
      <c r="D69" s="239"/>
      <c r="E69" s="239"/>
      <c r="F69" s="239"/>
      <c r="G69" s="239"/>
      <c r="H69" s="239"/>
      <c r="I69" s="239"/>
      <c r="J69" s="239"/>
    </row>
    <row r="70" spans="1:10" x14ac:dyDescent="0.2">
      <c r="A70" s="239"/>
      <c r="B70" s="239"/>
      <c r="C70" s="239"/>
      <c r="D70" s="239"/>
      <c r="E70" s="239"/>
      <c r="F70" s="239"/>
      <c r="G70" s="239"/>
      <c r="H70" s="239"/>
      <c r="I70" s="239"/>
      <c r="J70" s="239"/>
    </row>
    <row r="71" spans="1:10" x14ac:dyDescent="0.2">
      <c r="A71" s="239"/>
      <c r="B71" s="239"/>
      <c r="C71" s="239"/>
      <c r="D71" s="239"/>
      <c r="E71" s="239"/>
      <c r="F71" s="239"/>
      <c r="G71" s="239"/>
      <c r="H71" s="239"/>
      <c r="I71" s="239"/>
      <c r="J71" s="239"/>
    </row>
    <row r="72" spans="1:10" ht="15" x14ac:dyDescent="0.25">
      <c r="A72" s="249"/>
      <c r="B72" s="239"/>
      <c r="C72" s="914" t="s">
        <v>46</v>
      </c>
      <c r="D72" s="914"/>
      <c r="E72" s="914"/>
      <c r="F72" s="914"/>
      <c r="G72" s="914"/>
      <c r="H72" s="914"/>
      <c r="I72" s="239"/>
      <c r="J72" s="239"/>
    </row>
    <row r="73" spans="1:10" ht="15" x14ac:dyDescent="0.25">
      <c r="A73" s="915" t="s">
        <v>29</v>
      </c>
      <c r="B73" s="915"/>
      <c r="C73" s="255" t="e">
        <f>EDATE(BG!D2,-6)</f>
        <v>#NUM!</v>
      </c>
      <c r="D73" s="255" t="e">
        <f>EDATE(BG!D2,-5)</f>
        <v>#NUM!</v>
      </c>
      <c r="E73" s="255" t="e">
        <f>EDATE(BG!D2,-4)</f>
        <v>#NUM!</v>
      </c>
      <c r="F73" s="255" t="e">
        <f>EDATE(BG!D2,-3)</f>
        <v>#NUM!</v>
      </c>
      <c r="G73" s="255" t="e">
        <f>EDATE(BG!D2,-2)</f>
        <v>#NUM!</v>
      </c>
      <c r="H73" s="255" t="e">
        <f>EDATE(BG!D2,-1)</f>
        <v>#NUM!</v>
      </c>
      <c r="I73" s="245"/>
      <c r="J73" s="292"/>
    </row>
    <row r="74" spans="1:10" x14ac:dyDescent="0.2">
      <c r="A74" s="1050" t="s">
        <v>596</v>
      </c>
      <c r="B74" s="1051"/>
      <c r="C74" s="366" t="s">
        <v>185</v>
      </c>
      <c r="D74" s="366" t="s">
        <v>185</v>
      </c>
      <c r="E74" s="366" t="s">
        <v>185</v>
      </c>
      <c r="F74" s="366" t="s">
        <v>185</v>
      </c>
      <c r="G74" s="366" t="s">
        <v>185</v>
      </c>
      <c r="H74" s="366" t="s">
        <v>185</v>
      </c>
      <c r="I74" s="345"/>
      <c r="J74" s="332" t="str">
        <f>IF(SUM(C77:H77)&gt;0,"bitte hier"," ")</f>
        <v xml:space="preserve"> </v>
      </c>
    </row>
    <row r="75" spans="1:10" x14ac:dyDescent="0.2">
      <c r="A75" s="916" t="s">
        <v>47</v>
      </c>
      <c r="B75" s="916"/>
      <c r="C75" s="264"/>
      <c r="D75" s="264"/>
      <c r="E75" s="264"/>
      <c r="F75" s="264"/>
      <c r="G75" s="264"/>
      <c r="H75" s="264"/>
      <c r="I75" s="311"/>
      <c r="J75" s="367" t="str">
        <f>IF(SUM(C77:H77)&gt;0,"eintragen"," ")</f>
        <v xml:space="preserve"> </v>
      </c>
    </row>
    <row r="76" spans="1:10" x14ac:dyDescent="0.2">
      <c r="A76" s="917" t="s">
        <v>38</v>
      </c>
      <c r="B76" s="917"/>
      <c r="C76" s="266"/>
      <c r="D76" s="266"/>
      <c r="E76" s="266"/>
      <c r="F76" s="266"/>
      <c r="G76" s="266"/>
      <c r="H76" s="266"/>
      <c r="I76" s="368" t="str">
        <f>IF(SUM(C77:H77)&gt;0,"Beginn d."," ")</f>
        <v xml:space="preserve"> </v>
      </c>
      <c r="J76" s="1052"/>
    </row>
    <row r="77" spans="1:10" x14ac:dyDescent="0.2">
      <c r="A77" s="918" t="s">
        <v>242</v>
      </c>
      <c r="B77" s="918"/>
      <c r="C77" s="369"/>
      <c r="D77" s="369"/>
      <c r="E77" s="369"/>
      <c r="F77" s="369"/>
      <c r="G77" s="369"/>
      <c r="H77" s="369"/>
      <c r="I77" s="370" t="str">
        <f>IF(SUM(C77:H77)&gt;0,"Selbständigkeit:"," ")</f>
        <v xml:space="preserve"> </v>
      </c>
      <c r="J77" s="1053"/>
    </row>
    <row r="78" spans="1:10" x14ac:dyDescent="0.2">
      <c r="A78" s="239"/>
      <c r="B78" s="239"/>
      <c r="C78" s="248"/>
      <c r="D78" s="248"/>
      <c r="E78" s="142" t="s">
        <v>48</v>
      </c>
      <c r="F78" s="83">
        <f>SUM(C77:H77)</f>
        <v>0</v>
      </c>
      <c r="G78" s="81" t="s">
        <v>49</v>
      </c>
      <c r="H78" s="83" t="e">
        <f>ROUND((F78/J81),2)</f>
        <v>#NUM!</v>
      </c>
      <c r="I78" s="411" t="str">
        <f>IF(SUM(C77:H77)&gt;0,"Ende d."," ")</f>
        <v xml:space="preserve"> </v>
      </c>
      <c r="J78" s="1048"/>
    </row>
    <row r="79" spans="1:10" x14ac:dyDescent="0.2">
      <c r="A79" s="921" t="s">
        <v>50</v>
      </c>
      <c r="B79" s="922"/>
      <c r="C79" s="297"/>
      <c r="D79" s="297"/>
      <c r="E79" s="297"/>
      <c r="F79" s="297"/>
      <c r="G79" s="297"/>
      <c r="H79" s="297"/>
      <c r="I79" s="370" t="str">
        <f>IF(SUM(C77:H77)&gt;0,"Selbständigkeit:"," ")</f>
        <v xml:space="preserve"> </v>
      </c>
      <c r="J79" s="1049"/>
    </row>
    <row r="80" spans="1:10" x14ac:dyDescent="0.2">
      <c r="A80" s="923" t="s">
        <v>51</v>
      </c>
      <c r="B80" s="924"/>
      <c r="C80" s="298"/>
      <c r="D80" s="298"/>
      <c r="E80" s="298"/>
      <c r="F80" s="298"/>
      <c r="G80" s="298"/>
      <c r="H80" s="298"/>
      <c r="I80" s="1054" t="str">
        <f>IF(SUM(C77:H77)&gt;0,"Format: Monat Jahr"," ")</f>
        <v xml:space="preserve"> </v>
      </c>
      <c r="J80" s="1055"/>
    </row>
    <row r="81" spans="1:10" x14ac:dyDescent="0.2">
      <c r="A81" s="925" t="s">
        <v>52</v>
      </c>
      <c r="B81" s="925"/>
      <c r="C81" s="371"/>
      <c r="D81" s="371"/>
      <c r="E81" s="371"/>
      <c r="F81" s="371"/>
      <c r="G81" s="371"/>
      <c r="H81" s="371"/>
      <c r="I81" s="198" t="e">
        <f>IF(J76&lt;MEG!C6,6,DATEDIF(J76,MEG!E6,"m")+1)</f>
        <v>#NUM!</v>
      </c>
      <c r="J81" s="199" t="e">
        <f>IF(J78=ISBLANK(0),I81,IF(J76=ISBLANK(0),I82,DATEDIF(I84,J84,"m")+1))</f>
        <v>#NUM!</v>
      </c>
    </row>
    <row r="82" spans="1:10" x14ac:dyDescent="0.2">
      <c r="A82" s="1056" t="s">
        <v>54</v>
      </c>
      <c r="B82" s="1056"/>
      <c r="C82" s="413"/>
      <c r="D82" s="413"/>
      <c r="E82" s="413"/>
      <c r="F82" s="413"/>
      <c r="G82" s="413"/>
      <c r="H82" s="413"/>
      <c r="I82" s="198" t="e">
        <f>IF(J78&lt;MEG!C6,6,DATEDIF(MEG!C6,J78,"m")+1)</f>
        <v>#NUM!</v>
      </c>
      <c r="J82" s="199"/>
    </row>
    <row r="83" spans="1:10" x14ac:dyDescent="0.2">
      <c r="A83" s="1057"/>
      <c r="B83" s="1057"/>
      <c r="C83" s="126" t="s">
        <v>48</v>
      </c>
      <c r="D83" s="83">
        <f>SUM(C81:H82)</f>
        <v>0</v>
      </c>
      <c r="E83" s="81" t="s">
        <v>49</v>
      </c>
      <c r="F83" s="83" t="e">
        <f>ROUND((D83/J81),2)</f>
        <v>#NUM!</v>
      </c>
      <c r="G83" s="90" t="s">
        <v>53</v>
      </c>
      <c r="H83" s="91" t="e">
        <f>IF((H78-F83)&lt;0,0,(H78-F83))</f>
        <v>#NUM!</v>
      </c>
      <c r="I83" s="81"/>
      <c r="J83" s="81"/>
    </row>
    <row r="84" spans="1:10" x14ac:dyDescent="0.2">
      <c r="A84" s="239"/>
      <c r="B84" s="292"/>
      <c r="C84" s="373"/>
      <c r="D84" s="373"/>
      <c r="E84" s="373"/>
      <c r="F84" s="373"/>
      <c r="G84" s="373"/>
      <c r="H84" s="374"/>
      <c r="I84" s="179" t="e">
        <f>IF(J76&lt;MEG!C6,MEG!C6,J76)</f>
        <v>#NUM!</v>
      </c>
      <c r="J84" s="179" t="e">
        <f>IF(J78&gt;MEG!E6,MEG!E6,J78)</f>
        <v>#NUM!</v>
      </c>
    </row>
    <row r="85" spans="1:10" x14ac:dyDescent="0.2">
      <c r="A85" s="925" t="s">
        <v>54</v>
      </c>
      <c r="B85" s="925"/>
      <c r="C85" s="302">
        <f t="shared" ref="C85:H85" si="13">SUM(C88,(C86*ROUND(C87,0)*0.2))</f>
        <v>0</v>
      </c>
      <c r="D85" s="302">
        <f t="shared" si="13"/>
        <v>0</v>
      </c>
      <c r="E85" s="302">
        <f t="shared" si="13"/>
        <v>0</v>
      </c>
      <c r="F85" s="302">
        <f t="shared" si="13"/>
        <v>0</v>
      </c>
      <c r="G85" s="302">
        <f t="shared" si="13"/>
        <v>0</v>
      </c>
      <c r="H85" s="302">
        <f t="shared" si="13"/>
        <v>0</v>
      </c>
      <c r="I85" s="203" t="e">
        <f>I84</f>
        <v>#NUM!</v>
      </c>
      <c r="J85" s="179" t="e">
        <f>IF(J78=ISBLANK(0),H73+1,J78)</f>
        <v>#NUM!</v>
      </c>
    </row>
    <row r="86" spans="1:10" x14ac:dyDescent="0.2">
      <c r="A86" s="927" t="s">
        <v>234</v>
      </c>
      <c r="B86" s="928"/>
      <c r="C86" s="375"/>
      <c r="D86" s="375"/>
      <c r="E86" s="375"/>
      <c r="F86" s="375"/>
      <c r="G86" s="375"/>
      <c r="H86" s="375"/>
      <c r="I86" s="202" t="e">
        <f>IF(I84&gt;C73,0,IF(J85&lt;C73,0,H83))</f>
        <v>#NUM!</v>
      </c>
      <c r="J86" s="81"/>
    </row>
    <row r="87" spans="1:10" x14ac:dyDescent="0.2">
      <c r="A87" s="927" t="s">
        <v>235</v>
      </c>
      <c r="B87" s="928"/>
      <c r="C87" s="375"/>
      <c r="D87" s="375"/>
      <c r="E87" s="375"/>
      <c r="F87" s="375"/>
      <c r="G87" s="375"/>
      <c r="H87" s="375"/>
      <c r="I87" s="202" t="e">
        <f>IF(I84&gt;D73,0,IF(J85&lt;D73,0,H83))</f>
        <v>#NUM!</v>
      </c>
      <c r="J87" s="81"/>
    </row>
    <row r="88" spans="1:10" x14ac:dyDescent="0.2">
      <c r="A88" s="929" t="s">
        <v>237</v>
      </c>
      <c r="B88" s="930"/>
      <c r="C88" s="372"/>
      <c r="D88" s="372"/>
      <c r="E88" s="372"/>
      <c r="F88" s="372"/>
      <c r="G88" s="372"/>
      <c r="H88" s="372"/>
      <c r="I88" s="202" t="e">
        <f>IF(I84&gt;E73,0,IF(J85&lt;E73,0,H83))</f>
        <v>#NUM!</v>
      </c>
      <c r="J88" s="81"/>
    </row>
    <row r="89" spans="1:10" x14ac:dyDescent="0.2">
      <c r="A89" s="926" t="s">
        <v>55</v>
      </c>
      <c r="B89" s="926"/>
      <c r="C89" s="305">
        <f t="shared" ref="C89:H89" si="14">C90*C91</f>
        <v>0</v>
      </c>
      <c r="D89" s="305">
        <f t="shared" si="14"/>
        <v>0</v>
      </c>
      <c r="E89" s="305">
        <f t="shared" si="14"/>
        <v>0</v>
      </c>
      <c r="F89" s="305">
        <f t="shared" si="14"/>
        <v>0</v>
      </c>
      <c r="G89" s="305">
        <f t="shared" si="14"/>
        <v>0</v>
      </c>
      <c r="H89" s="305">
        <f t="shared" si="14"/>
        <v>0</v>
      </c>
      <c r="I89" s="202" t="e">
        <f>IF(I84&gt;F73,0,IF(J85&lt;F73,0,H83))</f>
        <v>#NUM!</v>
      </c>
      <c r="J89" s="83"/>
    </row>
    <row r="90" spans="1:10" x14ac:dyDescent="0.2">
      <c r="A90" s="898" t="s">
        <v>238</v>
      </c>
      <c r="B90" s="899"/>
      <c r="C90" s="375"/>
      <c r="D90" s="375"/>
      <c r="E90" s="375"/>
      <c r="F90" s="375"/>
      <c r="G90" s="375"/>
      <c r="H90" s="375"/>
      <c r="I90" s="202" t="e">
        <f>IF(I84&gt;G73,0,IF(J85&lt;G73,0,H83))</f>
        <v>#NUM!</v>
      </c>
      <c r="J90" s="81"/>
    </row>
    <row r="91" spans="1:10" x14ac:dyDescent="0.2">
      <c r="A91" s="942" t="s">
        <v>239</v>
      </c>
      <c r="B91" s="943"/>
      <c r="C91" s="376"/>
      <c r="D91" s="376"/>
      <c r="E91" s="376"/>
      <c r="F91" s="376"/>
      <c r="G91" s="376"/>
      <c r="H91" s="376"/>
      <c r="I91" s="202" t="e">
        <f>IF(I84&gt;H73,0,IF(J85&lt;H73,0,H83))</f>
        <v>#NUM!</v>
      </c>
      <c r="J91" s="81"/>
    </row>
    <row r="92" spans="1:10" x14ac:dyDescent="0.2">
      <c r="A92" s="937" t="s">
        <v>236</v>
      </c>
      <c r="B92" s="938"/>
      <c r="C92" s="307"/>
      <c r="D92" s="307"/>
      <c r="E92" s="307"/>
      <c r="F92" s="307"/>
      <c r="G92" s="307"/>
      <c r="H92" s="307"/>
      <c r="I92" s="356"/>
      <c r="J92" s="83"/>
    </row>
    <row r="93" spans="1:10" x14ac:dyDescent="0.2">
      <c r="A93" s="903" t="s">
        <v>56</v>
      </c>
      <c r="B93" s="903"/>
      <c r="C93" s="307"/>
      <c r="D93" s="307"/>
      <c r="E93" s="307"/>
      <c r="F93" s="307"/>
      <c r="G93" s="307"/>
      <c r="H93" s="307"/>
      <c r="I93" s="311"/>
      <c r="J93" s="294"/>
    </row>
    <row r="94" spans="1:10" x14ac:dyDescent="0.2">
      <c r="A94" s="903" t="s">
        <v>57</v>
      </c>
      <c r="B94" s="903"/>
      <c r="C94" s="307"/>
      <c r="D94" s="307"/>
      <c r="E94" s="307"/>
      <c r="F94" s="307"/>
      <c r="G94" s="307"/>
      <c r="H94" s="307"/>
      <c r="I94" s="311"/>
      <c r="J94" s="294"/>
    </row>
    <row r="95" spans="1:10" x14ac:dyDescent="0.2">
      <c r="A95" s="903" t="s">
        <v>58</v>
      </c>
      <c r="B95" s="903"/>
      <c r="C95" s="308"/>
      <c r="D95" s="308"/>
      <c r="E95" s="308"/>
      <c r="F95" s="308"/>
      <c r="G95" s="308"/>
      <c r="H95" s="308"/>
      <c r="I95" s="311"/>
      <c r="J95" s="294"/>
    </row>
    <row r="96" spans="1:10" x14ac:dyDescent="0.2">
      <c r="A96" s="239"/>
      <c r="B96" s="239"/>
      <c r="C96" s="93" t="e">
        <f>C75+I86</f>
        <v>#NUM!</v>
      </c>
      <c r="D96" s="93" t="e">
        <f>D75+I87</f>
        <v>#NUM!</v>
      </c>
      <c r="E96" s="93" t="e">
        <f>E75+I88</f>
        <v>#NUM!</v>
      </c>
      <c r="F96" s="93" t="e">
        <f>F75+I89</f>
        <v>#NUM!</v>
      </c>
      <c r="G96" s="93" t="e">
        <f>G75+I90</f>
        <v>#NUM!</v>
      </c>
      <c r="H96" s="93" t="e">
        <f>H75+I91</f>
        <v>#NUM!</v>
      </c>
      <c r="I96" s="239"/>
      <c r="J96" s="239"/>
    </row>
    <row r="97" spans="1:10" x14ac:dyDescent="0.2">
      <c r="A97" s="903" t="s">
        <v>59</v>
      </c>
      <c r="B97" s="903"/>
      <c r="C97" s="287" t="e">
        <f>IF(C74="ja",Grundfreibeträge!G25,Grundfreibeträge!F25)</f>
        <v>#NUM!</v>
      </c>
      <c r="D97" s="287" t="e">
        <f>IF(D74="ja",Grundfreibeträge!G26,Grundfreibeträge!F26)</f>
        <v>#NUM!</v>
      </c>
      <c r="E97" s="287" t="e">
        <f>IF(E74="ja",Grundfreibeträge!G27,Grundfreibeträge!F27)</f>
        <v>#NUM!</v>
      </c>
      <c r="F97" s="287" t="e">
        <f>IF(F74="ja",Grundfreibeträge!G28,Grundfreibeträge!F28)</f>
        <v>#NUM!</v>
      </c>
      <c r="G97" s="287" t="e">
        <f>IF(G74="ja",Grundfreibeträge!G29,Grundfreibeträge!F29)</f>
        <v>#NUM!</v>
      </c>
      <c r="H97" s="287" t="e">
        <f>IF(H74="ja",Grundfreibeträge!G30,Grundfreibeträge!F30)</f>
        <v>#NUM!</v>
      </c>
      <c r="I97" s="239"/>
      <c r="J97" s="239"/>
    </row>
    <row r="98" spans="1:10" x14ac:dyDescent="0.2">
      <c r="A98" s="937" t="s">
        <v>597</v>
      </c>
      <c r="B98" s="938"/>
      <c r="C98" s="287" t="e">
        <f>MAX((MIN(C96,520)-C97)*0.2,0)</f>
        <v>#NUM!</v>
      </c>
      <c r="D98" s="287" t="e">
        <f t="shared" ref="D98:H98" si="15">MAX((MIN(D96,520)-D97)*0.2,0)</f>
        <v>#NUM!</v>
      </c>
      <c r="E98" s="287" t="e">
        <f t="shared" si="15"/>
        <v>#NUM!</v>
      </c>
      <c r="F98" s="287" t="e">
        <f t="shared" si="15"/>
        <v>#NUM!</v>
      </c>
      <c r="G98" s="287" t="e">
        <f t="shared" si="15"/>
        <v>#NUM!</v>
      </c>
      <c r="H98" s="287" t="e">
        <f t="shared" si="15"/>
        <v>#NUM!</v>
      </c>
      <c r="I98" s="778"/>
      <c r="J98" s="778"/>
    </row>
    <row r="99" spans="1:10" x14ac:dyDescent="0.2">
      <c r="A99" s="903" t="s">
        <v>60</v>
      </c>
      <c r="B99" s="903"/>
      <c r="C99" s="287" t="e">
        <f>MAX(MIN(C96-520,480)*0.3,0)</f>
        <v>#NUM!</v>
      </c>
      <c r="D99" s="287" t="e">
        <f t="shared" ref="D99:H99" si="16">MAX(MIN(D96-520,480)*0.3,0)</f>
        <v>#NUM!</v>
      </c>
      <c r="E99" s="287" t="e">
        <f t="shared" si="16"/>
        <v>#NUM!</v>
      </c>
      <c r="F99" s="287" t="e">
        <f t="shared" si="16"/>
        <v>#NUM!</v>
      </c>
      <c r="G99" s="287" t="e">
        <f t="shared" si="16"/>
        <v>#NUM!</v>
      </c>
      <c r="H99" s="287" t="e">
        <f t="shared" si="16"/>
        <v>#NUM!</v>
      </c>
      <c r="I99" s="239"/>
      <c r="J99" s="239"/>
    </row>
    <row r="100" spans="1:10" x14ac:dyDescent="0.2">
      <c r="A100" s="903" t="s">
        <v>61</v>
      </c>
      <c r="B100" s="903"/>
      <c r="C100" s="287" t="e">
        <f>IF(Grundfreibeträge!Q6="Kind ü18",Grundfreibeträge!H25,IF(C96&lt;1000,0,IF(C96&gt;=1500,50,ROUND((C96-1000)*10%,2))))</f>
        <v>#NUM!</v>
      </c>
      <c r="D100" s="287" t="e">
        <f>IF(Grundfreibeträge!Q6="Kind ü18",Grundfreibeträge!H26,IF(D96&lt;1000,0,IF(D96&gt;=1500,50,ROUND((D96-1000)*10%,2))))</f>
        <v>#NUM!</v>
      </c>
      <c r="E100" s="287" t="e">
        <f>IF(Grundfreibeträge!Q6="Kind ü18",Grundfreibeträge!H27,IF(E96&lt;1000,0,IF(E96&gt;=1500,50,ROUND((E96-1000)*10%,2))))</f>
        <v>#NUM!</v>
      </c>
      <c r="F100" s="287" t="e">
        <f>IF(Grundfreibeträge!Q6="Kind ü18",Grundfreibeträge!H28,IF(F96&lt;1000,0,IF(F96&gt;=1500,50,ROUND((F96-1000)*10%,2))))</f>
        <v>#NUM!</v>
      </c>
      <c r="G100" s="287" t="e">
        <f>IF(Grundfreibeträge!Q6="Kind ü18",Grundfreibeträge!H29,IF(G96&lt;1000,0,IF(G96&gt;=1500,50,ROUND((G96-1000)*10%,2))))</f>
        <v>#NUM!</v>
      </c>
      <c r="H100" s="287" t="e">
        <f>IF(Grundfreibeträge!Q6="Kind ü18",Grundfreibeträge!H30,IF(H96&lt;1000,0,IF(H96&gt;=1500,50,ROUND((H96-1000)*10%,2))))</f>
        <v>#NUM!</v>
      </c>
      <c r="I100" s="288" t="s">
        <v>48</v>
      </c>
      <c r="J100" s="239"/>
    </row>
    <row r="101" spans="1:10" x14ac:dyDescent="0.2">
      <c r="A101" s="903" t="s">
        <v>62</v>
      </c>
      <c r="B101" s="903"/>
      <c r="C101" s="287" t="e">
        <f>IF(C96=0,0,MAX(C96-C79-C97-C98-C99-C100,0))</f>
        <v>#NUM!</v>
      </c>
      <c r="D101" s="287" t="e">
        <f t="shared" ref="D101:H101" si="17">IF(D96=0,0,MAX(D96-D79-D97-D98-D99-D100,0))</f>
        <v>#NUM!</v>
      </c>
      <c r="E101" s="287" t="e">
        <f t="shared" si="17"/>
        <v>#NUM!</v>
      </c>
      <c r="F101" s="287" t="e">
        <f t="shared" si="17"/>
        <v>#NUM!</v>
      </c>
      <c r="G101" s="287" t="e">
        <f t="shared" si="17"/>
        <v>#NUM!</v>
      </c>
      <c r="H101" s="287" t="e">
        <f t="shared" si="17"/>
        <v>#NUM!</v>
      </c>
      <c r="I101" s="287" t="e">
        <f>SUM(C101:H101)</f>
        <v>#NUM!</v>
      </c>
      <c r="J101" s="239"/>
    </row>
    <row r="102" spans="1:10" x14ac:dyDescent="0.2">
      <c r="A102" s="239"/>
      <c r="B102" s="312"/>
      <c r="C102" s="83" t="e">
        <f>C75+C76+I86</f>
        <v>#NUM!</v>
      </c>
      <c r="D102" s="83" t="e">
        <f>D75+D76+I87</f>
        <v>#NUM!</v>
      </c>
      <c r="E102" s="83" t="e">
        <f>E75+E76+I88</f>
        <v>#NUM!</v>
      </c>
      <c r="F102" s="83" t="e">
        <f>F75+F76+I89</f>
        <v>#NUM!</v>
      </c>
      <c r="G102" s="83" t="e">
        <f>G75+G76+I90</f>
        <v>#NUM!</v>
      </c>
      <c r="H102" s="83" t="e">
        <f>H75+H76+I91</f>
        <v>#NUM!</v>
      </c>
      <c r="I102" s="294"/>
      <c r="J102" s="239"/>
    </row>
    <row r="103" spans="1:10" ht="15" x14ac:dyDescent="0.25">
      <c r="A103" s="239"/>
      <c r="B103" s="239"/>
      <c r="C103" s="83" t="e">
        <f t="shared" ref="C103:H103" si="18">IF(C102=0,0,IF(C102&lt;=100,0,IF(C102&lt;=1000,(C102-100)*20%,IF(C102&gt;1000,180))))</f>
        <v>#NUM!</v>
      </c>
      <c r="D103" s="83" t="e">
        <f t="shared" si="18"/>
        <v>#NUM!</v>
      </c>
      <c r="E103" s="83" t="e">
        <f t="shared" si="18"/>
        <v>#NUM!</v>
      </c>
      <c r="F103" s="83" t="e">
        <f t="shared" si="18"/>
        <v>#NUM!</v>
      </c>
      <c r="G103" s="83" t="e">
        <f t="shared" si="18"/>
        <v>#NUM!</v>
      </c>
      <c r="H103" s="83" t="e">
        <f t="shared" si="18"/>
        <v>#NUM!</v>
      </c>
      <c r="I103" s="313"/>
      <c r="J103" s="239"/>
    </row>
    <row r="104" spans="1:10" ht="15" x14ac:dyDescent="0.25">
      <c r="A104" s="909" t="s">
        <v>63</v>
      </c>
      <c r="B104" s="909"/>
      <c r="C104" s="97" t="e">
        <f t="shared" ref="C104:H104" si="19">IF(C102&lt;1000,0,IF(C102&gt;=1500,50,ROUND((C102-1000)*10%,2)))</f>
        <v>#NUM!</v>
      </c>
      <c r="D104" s="97" t="e">
        <f t="shared" si="19"/>
        <v>#NUM!</v>
      </c>
      <c r="E104" s="97" t="e">
        <f t="shared" si="19"/>
        <v>#NUM!</v>
      </c>
      <c r="F104" s="97" t="e">
        <f t="shared" si="19"/>
        <v>#NUM!</v>
      </c>
      <c r="G104" s="97" t="e">
        <f t="shared" si="19"/>
        <v>#NUM!</v>
      </c>
      <c r="H104" s="97" t="e">
        <f t="shared" si="19"/>
        <v>#NUM!</v>
      </c>
      <c r="I104" s="313"/>
      <c r="J104" s="239"/>
    </row>
    <row r="105" spans="1:10" x14ac:dyDescent="0.2">
      <c r="A105" s="908" t="s">
        <v>64</v>
      </c>
      <c r="B105" s="908"/>
      <c r="C105" s="296">
        <f t="shared" ref="C105:H105" si="20">IF(C76=0,0,(C103+C104)-(C99+C100))</f>
        <v>0</v>
      </c>
      <c r="D105" s="296">
        <f t="shared" si="20"/>
        <v>0</v>
      </c>
      <c r="E105" s="296">
        <f t="shared" si="20"/>
        <v>0</v>
      </c>
      <c r="F105" s="296">
        <f t="shared" si="20"/>
        <v>0</v>
      </c>
      <c r="G105" s="296">
        <f t="shared" si="20"/>
        <v>0</v>
      </c>
      <c r="H105" s="296">
        <f t="shared" si="20"/>
        <v>0</v>
      </c>
      <c r="I105" s="314" t="s">
        <v>48</v>
      </c>
      <c r="J105" s="239"/>
    </row>
    <row r="106" spans="1:10" x14ac:dyDescent="0.2">
      <c r="A106" s="810" t="s">
        <v>65</v>
      </c>
      <c r="B106" s="810"/>
      <c r="C106" s="287">
        <f t="shared" ref="C106:H106" si="21">IF(C76=0,0,IF(AND(C76&gt;0,C96&gt;0),C76-C80-C105,IF(C76-C80-C105-C97&lt;0,0,C76-C80-C105-C97)))</f>
        <v>0</v>
      </c>
      <c r="D106" s="287">
        <f t="shared" si="21"/>
        <v>0</v>
      </c>
      <c r="E106" s="287">
        <f t="shared" si="21"/>
        <v>0</v>
      </c>
      <c r="F106" s="287">
        <f t="shared" si="21"/>
        <v>0</v>
      </c>
      <c r="G106" s="287">
        <f t="shared" si="21"/>
        <v>0</v>
      </c>
      <c r="H106" s="287">
        <f t="shared" si="21"/>
        <v>0</v>
      </c>
      <c r="I106" s="287">
        <f>SUM(C106:H106)</f>
        <v>0</v>
      </c>
      <c r="J106" s="239"/>
    </row>
    <row r="107" spans="1:10" x14ac:dyDescent="0.2">
      <c r="A107" s="239"/>
      <c r="B107" s="239"/>
      <c r="C107" s="239"/>
      <c r="D107" s="239"/>
      <c r="E107" s="239"/>
      <c r="F107" s="239"/>
      <c r="G107" s="239"/>
      <c r="H107" s="239"/>
      <c r="I107" s="239"/>
      <c r="J107" s="239"/>
    </row>
    <row r="108" spans="1:10" x14ac:dyDescent="0.2">
      <c r="A108" s="239"/>
      <c r="B108" s="239"/>
      <c r="C108" s="239"/>
      <c r="D108" s="239"/>
      <c r="E108" s="239"/>
      <c r="F108" s="239"/>
      <c r="G108" s="239"/>
      <c r="H108" s="239"/>
      <c r="I108" s="239"/>
      <c r="J108" s="239"/>
    </row>
    <row r="109" spans="1:10" x14ac:dyDescent="0.2">
      <c r="A109" s="239"/>
      <c r="B109" s="239"/>
      <c r="C109" s="239"/>
      <c r="D109" s="239"/>
      <c r="E109" s="239"/>
      <c r="F109" s="239"/>
      <c r="G109" s="239"/>
      <c r="H109" s="239"/>
      <c r="I109" s="239"/>
      <c r="J109" s="239"/>
    </row>
    <row r="110" spans="1:10" ht="15" x14ac:dyDescent="0.25">
      <c r="A110" s="239"/>
      <c r="B110" s="944" t="s">
        <v>80</v>
      </c>
      <c r="C110" s="945"/>
      <c r="D110" s="946"/>
      <c r="E110" s="350" t="s">
        <v>48</v>
      </c>
      <c r="F110" s="377" t="s">
        <v>49</v>
      </c>
      <c r="G110" s="239"/>
      <c r="H110" s="239"/>
      <c r="I110" s="239"/>
      <c r="J110" s="239"/>
    </row>
    <row r="111" spans="1:10" x14ac:dyDescent="0.2">
      <c r="A111" s="239"/>
      <c r="B111" s="947" t="s">
        <v>81</v>
      </c>
      <c r="C111" s="948"/>
      <c r="D111" s="949"/>
      <c r="E111" s="352" t="e">
        <f>I101+I106</f>
        <v>#NUM!</v>
      </c>
      <c r="F111" s="352" t="e">
        <f>E111/6</f>
        <v>#NUM!</v>
      </c>
      <c r="G111" s="239"/>
      <c r="H111" s="239"/>
      <c r="I111" s="239"/>
      <c r="J111" s="239"/>
    </row>
    <row r="112" spans="1:10" x14ac:dyDescent="0.2">
      <c r="A112" s="239"/>
      <c r="B112" s="947" t="s">
        <v>82</v>
      </c>
      <c r="C112" s="948"/>
      <c r="D112" s="949"/>
      <c r="E112" s="352">
        <f>I64</f>
        <v>0</v>
      </c>
      <c r="F112" s="352">
        <f>E112/6</f>
        <v>0</v>
      </c>
      <c r="G112" s="239"/>
      <c r="H112" s="239"/>
      <c r="I112" s="239"/>
      <c r="J112" s="239"/>
    </row>
    <row r="113" spans="1:10" ht="15" x14ac:dyDescent="0.25">
      <c r="A113" s="239"/>
      <c r="B113" s="239"/>
      <c r="C113" s="239"/>
      <c r="D113" s="239"/>
      <c r="E113" s="378" t="s">
        <v>84</v>
      </c>
      <c r="F113" s="353" t="e">
        <f>F111+F112</f>
        <v>#NUM!</v>
      </c>
      <c r="G113" s="239"/>
      <c r="H113" s="239"/>
      <c r="I113" s="239"/>
      <c r="J113" s="239"/>
    </row>
    <row r="114" spans="1:10" x14ac:dyDescent="0.2">
      <c r="A114" s="239"/>
      <c r="B114" s="239"/>
      <c r="C114" s="239"/>
      <c r="D114" s="239"/>
      <c r="E114" s="239"/>
      <c r="F114" s="239"/>
      <c r="G114" s="239"/>
      <c r="H114" s="239"/>
      <c r="I114" s="239"/>
      <c r="J114" s="239"/>
    </row>
    <row r="115" spans="1:10" x14ac:dyDescent="0.2">
      <c r="A115" s="239"/>
      <c r="B115" s="239"/>
      <c r="C115" s="239"/>
      <c r="D115" s="239"/>
      <c r="E115" s="239"/>
      <c r="F115" s="239"/>
      <c r="G115" s="239"/>
      <c r="H115" s="239"/>
      <c r="I115" s="239"/>
      <c r="J115" s="239"/>
    </row>
    <row r="116" spans="1:10" x14ac:dyDescent="0.2">
      <c r="A116" s="239"/>
      <c r="B116" s="239"/>
      <c r="C116" s="239"/>
      <c r="D116" s="239"/>
      <c r="E116" s="239"/>
      <c r="F116" s="239"/>
      <c r="G116" s="239"/>
      <c r="H116" s="239"/>
      <c r="I116" s="239"/>
      <c r="J116" s="239"/>
    </row>
    <row r="117" spans="1:10" x14ac:dyDescent="0.2">
      <c r="A117" s="239"/>
      <c r="B117" s="239"/>
      <c r="C117" s="239"/>
      <c r="D117" s="239"/>
      <c r="E117" s="239"/>
      <c r="F117" s="239"/>
      <c r="G117" s="239"/>
      <c r="H117" s="239"/>
      <c r="I117" s="239"/>
      <c r="J117" s="239"/>
    </row>
    <row r="118" spans="1:10" x14ac:dyDescent="0.2">
      <c r="A118" s="239"/>
      <c r="B118" s="239"/>
      <c r="C118" s="239"/>
      <c r="D118" s="239"/>
      <c r="E118" s="239"/>
      <c r="F118" s="239"/>
      <c r="G118" s="239"/>
      <c r="H118" s="239"/>
      <c r="I118" s="239"/>
      <c r="J118" s="239"/>
    </row>
    <row r="119" spans="1:10" x14ac:dyDescent="0.2">
      <c r="A119" s="239"/>
      <c r="B119" s="239"/>
      <c r="C119" s="239"/>
      <c r="D119" s="239"/>
      <c r="E119" s="239"/>
      <c r="F119" s="1058" t="s">
        <v>85</v>
      </c>
      <c r="G119" s="1058"/>
      <c r="H119" s="379"/>
      <c r="I119" s="239"/>
      <c r="J119" s="239"/>
    </row>
    <row r="120" spans="1:10" x14ac:dyDescent="0.2">
      <c r="A120" s="239"/>
      <c r="B120" s="239"/>
      <c r="C120" s="239"/>
      <c r="D120" s="239"/>
      <c r="E120" s="239"/>
      <c r="F120" s="1059" t="s">
        <v>86</v>
      </c>
      <c r="G120" s="1059"/>
      <c r="H120" s="380"/>
      <c r="I120" s="239"/>
      <c r="J120" s="239"/>
    </row>
    <row r="121" spans="1:10" ht="15" x14ac:dyDescent="0.25">
      <c r="A121" s="239"/>
      <c r="B121" s="239"/>
      <c r="C121" s="239"/>
      <c r="D121" s="239"/>
      <c r="E121" s="239"/>
      <c r="F121" s="1060" t="s">
        <v>87</v>
      </c>
      <c r="G121" s="1060"/>
      <c r="H121" s="381" t="e">
        <f>IF(Kurzantrag!C15&gt;0,Kurzantrag!C15,ROUND(F113*45%,2))</f>
        <v>#NUM!</v>
      </c>
      <c r="I121" s="239"/>
      <c r="J121" s="239"/>
    </row>
    <row r="122" spans="1:10" x14ac:dyDescent="0.2">
      <c r="A122" s="239"/>
      <c r="B122" s="239"/>
      <c r="C122" s="239"/>
      <c r="D122" s="239"/>
      <c r="E122" s="239"/>
      <c r="F122" s="239"/>
      <c r="G122" s="239"/>
      <c r="H122" s="239"/>
      <c r="I122" s="239"/>
      <c r="J122" s="239"/>
    </row>
    <row r="123" spans="1:10" x14ac:dyDescent="0.2">
      <c r="A123" s="322"/>
      <c r="B123" s="322"/>
      <c r="C123" s="322"/>
      <c r="D123" s="322"/>
      <c r="E123" s="322"/>
      <c r="F123" s="322"/>
      <c r="G123" s="322"/>
      <c r="H123" s="322"/>
      <c r="I123" s="322"/>
      <c r="J123" s="322"/>
    </row>
    <row r="124" spans="1:10" x14ac:dyDescent="0.2">
      <c r="A124" s="239"/>
      <c r="B124" s="239"/>
      <c r="C124" s="239"/>
      <c r="D124" s="239"/>
      <c r="E124" s="239"/>
      <c r="F124" s="239"/>
      <c r="G124" s="239"/>
      <c r="H124" s="239"/>
      <c r="I124" s="239"/>
      <c r="J124" s="239"/>
    </row>
    <row r="125" spans="1:10" x14ac:dyDescent="0.2">
      <c r="A125" s="2"/>
      <c r="B125" s="2"/>
      <c r="C125" s="2"/>
      <c r="D125" s="2"/>
      <c r="E125" s="2"/>
      <c r="F125" s="2"/>
      <c r="G125" s="2"/>
      <c r="H125" s="2"/>
      <c r="I125" s="2"/>
      <c r="J125" s="2"/>
    </row>
    <row r="126" spans="1:10" x14ac:dyDescent="0.2">
      <c r="A126" s="2"/>
      <c r="B126" s="2"/>
      <c r="C126" s="2"/>
      <c r="D126" s="2"/>
      <c r="E126" s="2"/>
      <c r="F126" s="2"/>
      <c r="G126" s="2"/>
      <c r="H126" s="2"/>
      <c r="I126" s="2"/>
      <c r="J126" s="2"/>
    </row>
    <row r="127" spans="1:10" x14ac:dyDescent="0.2">
      <c r="A127" s="2"/>
      <c r="B127" s="2"/>
      <c r="C127" s="2"/>
      <c r="D127" s="2"/>
      <c r="E127" s="2"/>
      <c r="F127" s="2"/>
      <c r="G127" s="2"/>
      <c r="H127" s="2"/>
      <c r="I127" s="2"/>
      <c r="J127" s="2"/>
    </row>
    <row r="128" spans="1:10" x14ac:dyDescent="0.2">
      <c r="A128" s="2"/>
      <c r="B128" s="2"/>
      <c r="C128" s="2"/>
      <c r="D128" s="2"/>
      <c r="E128" s="2"/>
      <c r="F128" s="2"/>
      <c r="G128" s="2"/>
      <c r="H128" s="2"/>
      <c r="I128" s="2"/>
      <c r="J128" s="2"/>
    </row>
    <row r="129" spans="1:10" x14ac:dyDescent="0.2">
      <c r="A129" s="2"/>
      <c r="B129" s="2"/>
      <c r="C129" s="2"/>
      <c r="D129" s="2"/>
      <c r="E129" s="2"/>
      <c r="F129" s="2"/>
      <c r="G129" s="2"/>
      <c r="H129" s="2"/>
      <c r="I129" s="2"/>
      <c r="J129" s="2"/>
    </row>
    <row r="130" spans="1:10" x14ac:dyDescent="0.2">
      <c r="A130" s="2"/>
      <c r="B130" s="2"/>
      <c r="C130" s="2"/>
      <c r="D130" s="2"/>
      <c r="E130" s="2"/>
      <c r="F130" s="2"/>
      <c r="G130" s="2"/>
      <c r="H130" s="2"/>
      <c r="I130" s="2"/>
      <c r="J130" s="2"/>
    </row>
    <row r="131" spans="1:10" x14ac:dyDescent="0.2">
      <c r="A131" s="2"/>
      <c r="B131" s="2"/>
      <c r="C131" s="2"/>
      <c r="D131" s="2"/>
      <c r="E131" s="2"/>
      <c r="F131" s="2"/>
      <c r="G131" s="2"/>
      <c r="H131" s="2"/>
      <c r="I131" s="2"/>
      <c r="J131" s="2"/>
    </row>
    <row r="132" spans="1:10" x14ac:dyDescent="0.2">
      <c r="A132" s="2"/>
      <c r="B132" s="2"/>
      <c r="C132" s="2"/>
      <c r="D132" s="2"/>
      <c r="E132" s="2"/>
      <c r="F132" s="2"/>
      <c r="G132" s="2"/>
      <c r="H132" s="2"/>
      <c r="I132" s="2"/>
      <c r="J132" s="2"/>
    </row>
  </sheetData>
  <sheetProtection algorithmName="SHA-512" hashValue="hVTIb6tpQrvuBmdxrSZoVbcm+AhhfE4a6lFtIRX6maRtonYvWuvnbjBGWGr8i0kqugXMkLH1iGTbbtdSFWqUnA==" saltValue="7JxgQwWJNExJ+kNCcbqbMA==" spinCount="100000" sheet="1" formatCells="0" formatColumns="0" formatRows="0" insertColumns="0" insertRows="0" insertHyperlinks="0" deleteColumns="0" deleteRows="0" sort="0" autoFilter="0" pivotTables="0"/>
  <mergeCells count="85">
    <mergeCell ref="F119:G119"/>
    <mergeCell ref="F120:G120"/>
    <mergeCell ref="F121:G121"/>
    <mergeCell ref="J76:J77"/>
    <mergeCell ref="J78:J79"/>
    <mergeCell ref="I80:J80"/>
    <mergeCell ref="B112:D112"/>
    <mergeCell ref="A94:B94"/>
    <mergeCell ref="A95:B95"/>
    <mergeCell ref="A97:B97"/>
    <mergeCell ref="A99:B99"/>
    <mergeCell ref="A100:B100"/>
    <mergeCell ref="A101:B101"/>
    <mergeCell ref="A104:B104"/>
    <mergeCell ref="A105:B105"/>
    <mergeCell ref="A106:B106"/>
    <mergeCell ref="B110:D110"/>
    <mergeCell ref="B111:D111"/>
    <mergeCell ref="A98:B98"/>
    <mergeCell ref="A93:B93"/>
    <mergeCell ref="A81:B81"/>
    <mergeCell ref="A82:B82"/>
    <mergeCell ref="A83:B83"/>
    <mergeCell ref="A85:B85"/>
    <mergeCell ref="A86:B86"/>
    <mergeCell ref="A87:B87"/>
    <mergeCell ref="A88:B88"/>
    <mergeCell ref="A89:B89"/>
    <mergeCell ref="A90:B90"/>
    <mergeCell ref="A91:B91"/>
    <mergeCell ref="A92:B92"/>
    <mergeCell ref="A80:B80"/>
    <mergeCell ref="A57:B57"/>
    <mergeCell ref="A58:B58"/>
    <mergeCell ref="A59:B59"/>
    <mergeCell ref="A60:B60"/>
    <mergeCell ref="A74:B74"/>
    <mergeCell ref="A75:B75"/>
    <mergeCell ref="A76:B76"/>
    <mergeCell ref="A77:B77"/>
    <mergeCell ref="A79:B79"/>
    <mergeCell ref="C72:H72"/>
    <mergeCell ref="A73:B73"/>
    <mergeCell ref="A49:B49"/>
    <mergeCell ref="A50:B50"/>
    <mergeCell ref="A51:B51"/>
    <mergeCell ref="A52:B52"/>
    <mergeCell ref="A53:B53"/>
    <mergeCell ref="A56:B56"/>
    <mergeCell ref="A48:B48"/>
    <mergeCell ref="B32:C32"/>
    <mergeCell ref="A37:B37"/>
    <mergeCell ref="A38:B38"/>
    <mergeCell ref="A39:B39"/>
    <mergeCell ref="A41:B41"/>
    <mergeCell ref="A42:B42"/>
    <mergeCell ref="A43:B43"/>
    <mergeCell ref="A44:B44"/>
    <mergeCell ref="A45:B45"/>
    <mergeCell ref="A46:B46"/>
    <mergeCell ref="A47:B47"/>
    <mergeCell ref="B31:C31"/>
    <mergeCell ref="A16:B16"/>
    <mergeCell ref="A18:B18"/>
    <mergeCell ref="A20:B20"/>
    <mergeCell ref="A21:B21"/>
    <mergeCell ref="A22:B22"/>
    <mergeCell ref="A24:B24"/>
    <mergeCell ref="A25:B25"/>
    <mergeCell ref="A26:B26"/>
    <mergeCell ref="A27:B27"/>
    <mergeCell ref="A29:B29"/>
    <mergeCell ref="B30:C30"/>
    <mergeCell ref="A15:B15"/>
    <mergeCell ref="C1:H1"/>
    <mergeCell ref="A3:B3"/>
    <mergeCell ref="A4:B4"/>
    <mergeCell ref="A5:B5"/>
    <mergeCell ref="A6:B6"/>
    <mergeCell ref="A8:B8"/>
    <mergeCell ref="A9:B9"/>
    <mergeCell ref="A10:B10"/>
    <mergeCell ref="A11:B11"/>
    <mergeCell ref="A13:B13"/>
    <mergeCell ref="A14:B14"/>
  </mergeCells>
  <dataValidations count="3">
    <dataValidation type="decimal" allowBlank="1" showInputMessage="1" showErrorMessage="1" error="Der eingegebene Wert ist unzulässig. Bitte geben Sie eine Zahl ein, die größer 0 ist." sqref="C3:H6 C8:H11 C13:H16 C18:H22 C24:H27 C38:H39 C41:H41 C43:H45 C47:H49 C52:H53 C57:H59 C75:H77 C79:H82 C86:H88 C90:H95" xr:uid="{00000000-0002-0000-0900-000000000000}">
      <formula1>0</formula1>
      <formula2>1000000</formula2>
    </dataValidation>
    <dataValidation type="list" allowBlank="1" showInputMessage="1" showErrorMessage="1" sqref="C74:H74" xr:uid="{00000000-0002-0000-0900-000001000000}">
      <formula1>".,ja,nein"</formula1>
    </dataValidation>
    <dataValidation allowBlank="1" showInputMessage="1" showErrorMessage="1" prompt="Bitte geben Sie das Datum im Format Monat Jahr ein (z.B. Beginn August 2012 = Aug 12)." sqref="J76:J79" xr:uid="{00000000-0002-0000-0900-000002000000}"/>
  </dataValidations>
  <pageMargins left="0.70866141732283472" right="0.70866141732283472" top="0.8666666666666667" bottom="0.78740157480314965" header="0.31496062992125984" footer="0.31496062992125984"/>
  <pageSetup paperSize="9" scale="96" orientation="landscape" r:id="rId1"/>
  <headerFooter>
    <oddHeader>&amp;L&amp;"Arial,Fett"&amp;U4. Ermittlung des anzurechnenden Einkommens des Kindes / der Kinder:
4.1. Einkommensermittlung Kind 4:&amp;R&amp;D</oddHeader>
    <oddFooter>&amp;R&amp;P</oddFooter>
  </headerFooter>
  <rowBreaks count="3" manualBreakCount="3">
    <brk id="31" max="16383" man="1"/>
    <brk id="67" max="16383" man="1"/>
    <brk id="103"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J135"/>
  <sheetViews>
    <sheetView showGridLines="0" zoomScaleNormal="100" workbookViewId="0">
      <selection activeCell="C18" sqref="C18"/>
    </sheetView>
  </sheetViews>
  <sheetFormatPr baseColWidth="10" defaultRowHeight="14.25" x14ac:dyDescent="0.2"/>
  <cols>
    <col min="1" max="16384" width="11" style="1"/>
  </cols>
  <sheetData>
    <row r="1" spans="1:10" ht="15" x14ac:dyDescent="0.25">
      <c r="A1" s="313"/>
      <c r="B1" s="240"/>
      <c r="C1" s="914" t="s">
        <v>251</v>
      </c>
      <c r="D1" s="914"/>
      <c r="E1" s="914"/>
      <c r="F1" s="914"/>
      <c r="G1" s="914"/>
      <c r="H1" s="914"/>
      <c r="I1" s="239"/>
      <c r="J1" s="239"/>
    </row>
    <row r="2" spans="1:10" ht="15" x14ac:dyDescent="0.25">
      <c r="A2" s="407" t="s">
        <v>29</v>
      </c>
      <c r="B2" s="408"/>
      <c r="C2" s="255" t="e">
        <f>EDATE(BG!D2,-6)</f>
        <v>#NUM!</v>
      </c>
      <c r="D2" s="255" t="e">
        <f>EDATE(BG!D2,-5)</f>
        <v>#NUM!</v>
      </c>
      <c r="E2" s="255" t="e">
        <f>EDATE(BG!D2,-4)</f>
        <v>#NUM!</v>
      </c>
      <c r="F2" s="255" t="e">
        <f>EDATE(BG!D2,-3)</f>
        <v>#NUM!</v>
      </c>
      <c r="G2" s="255" t="e">
        <f>EDATE(BG!D2,-2)</f>
        <v>#NUM!</v>
      </c>
      <c r="H2" s="255" t="e">
        <f>EDATE(BG!D2,-1)</f>
        <v>#NUM!</v>
      </c>
      <c r="I2" s="292"/>
      <c r="J2" s="292"/>
    </row>
    <row r="3" spans="1:10" x14ac:dyDescent="0.2">
      <c r="A3" s="892" t="s">
        <v>66</v>
      </c>
      <c r="B3" s="893"/>
      <c r="C3" s="297"/>
      <c r="D3" s="297"/>
      <c r="E3" s="297"/>
      <c r="F3" s="297"/>
      <c r="G3" s="297"/>
      <c r="H3" s="297"/>
      <c r="I3" s="294"/>
      <c r="J3" s="294"/>
    </row>
    <row r="4" spans="1:10" x14ac:dyDescent="0.2">
      <c r="A4" s="886" t="s">
        <v>38</v>
      </c>
      <c r="B4" s="887"/>
      <c r="C4" s="298"/>
      <c r="D4" s="298"/>
      <c r="E4" s="298"/>
      <c r="F4" s="298"/>
      <c r="G4" s="298"/>
      <c r="H4" s="298"/>
      <c r="I4" s="294"/>
      <c r="J4" s="294"/>
    </row>
    <row r="5" spans="1:10" x14ac:dyDescent="0.2">
      <c r="A5" s="888" t="s">
        <v>67</v>
      </c>
      <c r="B5" s="889"/>
      <c r="C5" s="317"/>
      <c r="D5" s="317"/>
      <c r="E5" s="317"/>
      <c r="F5" s="317"/>
      <c r="G5" s="317"/>
      <c r="H5" s="317"/>
      <c r="I5" s="294"/>
      <c r="J5" s="294"/>
    </row>
    <row r="6" spans="1:10" x14ac:dyDescent="0.2">
      <c r="A6" s="912" t="s">
        <v>68</v>
      </c>
      <c r="B6" s="913"/>
      <c r="C6" s="318"/>
      <c r="D6" s="318"/>
      <c r="E6" s="318"/>
      <c r="F6" s="318"/>
      <c r="G6" s="318"/>
      <c r="H6" s="318"/>
      <c r="I6" s="294"/>
      <c r="J6" s="294"/>
    </row>
    <row r="7" spans="1:10" x14ac:dyDescent="0.2">
      <c r="A7" s="319"/>
      <c r="B7" s="319"/>
      <c r="C7" s="143">
        <f t="shared" ref="C7:H7" si="0">IF((C3+C4)=0,0,IF(AND((C3-C5)&gt;=0,(C4-C6)&gt;=0),(C3+C4-C5-C6),IF(AND((C3-C5)&gt;0,(C4-C6)&lt;0),(C3-C5),IF(AND((C3-C5)&lt;0,(C4-C6)&gt;0),(C4-C6),IF((C3-C5)&gt;0,(C3-C5),IF((C3-C5)&lt;0,0))))))</f>
        <v>0</v>
      </c>
      <c r="D7" s="143">
        <f t="shared" si="0"/>
        <v>0</v>
      </c>
      <c r="E7" s="143">
        <f t="shared" si="0"/>
        <v>0</v>
      </c>
      <c r="F7" s="143">
        <f t="shared" si="0"/>
        <v>0</v>
      </c>
      <c r="G7" s="143">
        <f t="shared" si="0"/>
        <v>0</v>
      </c>
      <c r="H7" s="143">
        <f t="shared" si="0"/>
        <v>0</v>
      </c>
      <c r="I7" s="240"/>
      <c r="J7" s="240"/>
    </row>
    <row r="8" spans="1:10" x14ac:dyDescent="0.2">
      <c r="A8" s="933" t="s">
        <v>69</v>
      </c>
      <c r="B8" s="934"/>
      <c r="C8" s="297"/>
      <c r="D8" s="297"/>
      <c r="E8" s="297"/>
      <c r="F8" s="297"/>
      <c r="G8" s="297"/>
      <c r="H8" s="297"/>
      <c r="I8" s="294"/>
      <c r="J8" s="294"/>
    </row>
    <row r="9" spans="1:10" x14ac:dyDescent="0.2">
      <c r="A9" s="935" t="s">
        <v>38</v>
      </c>
      <c r="B9" s="936"/>
      <c r="C9" s="298"/>
      <c r="D9" s="298"/>
      <c r="E9" s="298"/>
      <c r="F9" s="298"/>
      <c r="G9" s="298"/>
      <c r="H9" s="298"/>
      <c r="I9" s="294"/>
      <c r="J9" s="294"/>
    </row>
    <row r="10" spans="1:10" x14ac:dyDescent="0.2">
      <c r="A10" s="888" t="s">
        <v>67</v>
      </c>
      <c r="B10" s="889"/>
      <c r="C10" s="297"/>
      <c r="D10" s="297"/>
      <c r="E10" s="297"/>
      <c r="F10" s="297"/>
      <c r="G10" s="297"/>
      <c r="H10" s="297"/>
      <c r="I10" s="294"/>
      <c r="J10" s="294"/>
    </row>
    <row r="11" spans="1:10" x14ac:dyDescent="0.2">
      <c r="A11" s="912" t="s">
        <v>68</v>
      </c>
      <c r="B11" s="913"/>
      <c r="C11" s="318"/>
      <c r="D11" s="318"/>
      <c r="E11" s="318"/>
      <c r="F11" s="318"/>
      <c r="G11" s="318"/>
      <c r="H11" s="318"/>
      <c r="I11" s="294"/>
      <c r="J11" s="294"/>
    </row>
    <row r="12" spans="1:10" x14ac:dyDescent="0.2">
      <c r="A12" s="321"/>
      <c r="B12" s="321"/>
      <c r="C12" s="143">
        <f t="shared" ref="C12:H12" si="1">IF((C8+C9)=0,0,IF(AND((C8-C10)&gt;=0,(C9-C11)&gt;=0),(C8+C9-C10-C11),IF(AND((C8-C10)&gt;0,(C9-C11)&lt;0),(C8-C10),IF(AND((C8-C10)&lt;0,(C9-C11)&gt;0),(C9-C11),IF((C8-C10)&gt;0,(C8-C10),IF((C8-C10)&lt;0,0))))))</f>
        <v>0</v>
      </c>
      <c r="D12" s="143">
        <f t="shared" si="1"/>
        <v>0</v>
      </c>
      <c r="E12" s="143">
        <f t="shared" si="1"/>
        <v>0</v>
      </c>
      <c r="F12" s="143">
        <f t="shared" si="1"/>
        <v>0</v>
      </c>
      <c r="G12" s="143">
        <f t="shared" si="1"/>
        <v>0</v>
      </c>
      <c r="H12" s="143">
        <f t="shared" si="1"/>
        <v>0</v>
      </c>
      <c r="I12" s="240"/>
      <c r="J12" s="240"/>
    </row>
    <row r="13" spans="1:10" x14ac:dyDescent="0.2">
      <c r="A13" s="892" t="s">
        <v>70</v>
      </c>
      <c r="B13" s="893"/>
      <c r="C13" s="297"/>
      <c r="D13" s="297"/>
      <c r="E13" s="297"/>
      <c r="F13" s="297"/>
      <c r="G13" s="297"/>
      <c r="H13" s="297"/>
      <c r="I13" s="294"/>
      <c r="J13" s="294"/>
    </row>
    <row r="14" spans="1:10" x14ac:dyDescent="0.2">
      <c r="A14" s="886" t="s">
        <v>38</v>
      </c>
      <c r="B14" s="887"/>
      <c r="C14" s="298"/>
      <c r="D14" s="298"/>
      <c r="E14" s="298"/>
      <c r="F14" s="298"/>
      <c r="G14" s="298"/>
      <c r="H14" s="298"/>
      <c r="I14" s="294"/>
      <c r="J14" s="294"/>
    </row>
    <row r="15" spans="1:10" x14ac:dyDescent="0.2">
      <c r="A15" s="888" t="s">
        <v>67</v>
      </c>
      <c r="B15" s="889"/>
      <c r="C15" s="323"/>
      <c r="D15" s="297"/>
      <c r="E15" s="297"/>
      <c r="F15" s="297"/>
      <c r="G15" s="297"/>
      <c r="H15" s="297"/>
      <c r="I15" s="294"/>
      <c r="J15" s="294"/>
    </row>
    <row r="16" spans="1:10" x14ac:dyDescent="0.2">
      <c r="A16" s="912" t="s">
        <v>68</v>
      </c>
      <c r="B16" s="913"/>
      <c r="C16" s="324"/>
      <c r="D16" s="325"/>
      <c r="E16" s="325"/>
      <c r="F16" s="325"/>
      <c r="G16" s="325"/>
      <c r="H16" s="325"/>
      <c r="I16" s="294"/>
      <c r="J16" s="294"/>
    </row>
    <row r="17" spans="1:10" x14ac:dyDescent="0.2">
      <c r="A17" s="321"/>
      <c r="B17" s="321"/>
      <c r="C17" s="143">
        <f t="shared" ref="C17:H17" si="2">IF((C13+C14)=0,0,IF(AND((C13-C15)&gt;=0,(C14-C16)&gt;=0),(C13+C14-C15-C16),IF(AND((C13-C15)&gt;0,(C14-C16)&lt;0),(C13-C15),IF(AND((C13-C15)&lt;0,(C14-C16)&gt;0),(C14-C16),IF((C13-C15)&gt;0,(C13-C15),IF((C13-C15)&lt;0,0))))))</f>
        <v>0</v>
      </c>
      <c r="D17" s="143">
        <f t="shared" si="2"/>
        <v>0</v>
      </c>
      <c r="E17" s="143">
        <f t="shared" si="2"/>
        <v>0</v>
      </c>
      <c r="F17" s="143">
        <f t="shared" si="2"/>
        <v>0</v>
      </c>
      <c r="G17" s="143">
        <f t="shared" si="2"/>
        <v>0</v>
      </c>
      <c r="H17" s="143">
        <f t="shared" si="2"/>
        <v>0</v>
      </c>
      <c r="I17" s="240"/>
      <c r="J17" s="240"/>
    </row>
    <row r="18" spans="1:10" x14ac:dyDescent="0.2">
      <c r="A18" s="892" t="s">
        <v>516</v>
      </c>
      <c r="B18" s="893"/>
      <c r="C18" s="328"/>
      <c r="D18" s="328"/>
      <c r="E18" s="328"/>
      <c r="F18" s="328"/>
      <c r="G18" s="328"/>
      <c r="H18" s="328"/>
      <c r="I18" s="294"/>
      <c r="J18" s="294"/>
    </row>
    <row r="19" spans="1:10" x14ac:dyDescent="0.2">
      <c r="A19" s="607"/>
      <c r="B19" s="608" t="s">
        <v>517</v>
      </c>
      <c r="C19" s="609"/>
      <c r="D19" s="609"/>
      <c r="E19" s="609"/>
      <c r="F19" s="609"/>
      <c r="G19" s="609"/>
      <c r="H19" s="609"/>
      <c r="I19" s="294"/>
      <c r="J19" s="294"/>
    </row>
    <row r="20" spans="1:10" x14ac:dyDescent="0.2">
      <c r="A20" s="886" t="s">
        <v>515</v>
      </c>
      <c r="B20" s="887"/>
      <c r="C20" s="362"/>
      <c r="D20" s="362"/>
      <c r="E20" s="362"/>
      <c r="F20" s="362"/>
      <c r="G20" s="362"/>
      <c r="H20" s="362"/>
      <c r="I20" s="294"/>
      <c r="J20" s="294"/>
    </row>
    <row r="21" spans="1:10" x14ac:dyDescent="0.2">
      <c r="A21" s="888" t="s">
        <v>67</v>
      </c>
      <c r="B21" s="889"/>
      <c r="C21" s="323"/>
      <c r="D21" s="328"/>
      <c r="E21" s="328"/>
      <c r="F21" s="328"/>
      <c r="G21" s="328"/>
      <c r="H21" s="328"/>
      <c r="I21" s="294"/>
      <c r="J21" s="294"/>
    </row>
    <row r="22" spans="1:10" x14ac:dyDescent="0.2">
      <c r="A22" s="912" t="s">
        <v>68</v>
      </c>
      <c r="B22" s="913"/>
      <c r="C22" s="329"/>
      <c r="D22" s="318"/>
      <c r="E22" s="318"/>
      <c r="F22" s="318"/>
      <c r="G22" s="318"/>
      <c r="H22" s="318"/>
      <c r="I22" s="294"/>
      <c r="J22" s="294"/>
    </row>
    <row r="23" spans="1:10" s="614" customFormat="1" x14ac:dyDescent="0.2">
      <c r="A23" s="615"/>
      <c r="B23" s="615"/>
      <c r="C23" s="143">
        <f>IF((C18+C19+C20)=0,0,IF(AND((C18+C19-C21)&gt;=0,(C20-C22)&gt;=0),(C18+C19+C20-C21-C22),IF(AND((C18+C19-C21)&gt;0,(C20-C22)&lt;0),(C18+C19-C21),IF(AND((C18+C19-C21)&lt;0,(C20-C22)&gt;0),(C20-C22),IF((C18+C19-C21)&gt;0,(C18+C19-C21),IF((C18+C19-C21)&lt;0,0))))))</f>
        <v>0</v>
      </c>
      <c r="D23" s="143">
        <f t="shared" ref="D23:H23" si="3">IF((D18+D19+D20)=0,0,IF(AND((D18+D19-D21)&gt;=0,(D20-D22)&gt;=0),(D18+D19+D20-D21-D22),IF(AND((D18+D19-D21)&gt;0,(D20-D22)&lt;0),(D18+D19-D21),IF(AND((D18+D19-D21)&lt;0,(D20-D22)&gt;0),(D20-D22),IF((D18+D19-D21)&gt;0,(D18+D19-D21),IF((D18+D19-D21)&lt;0,0))))))</f>
        <v>0</v>
      </c>
      <c r="E23" s="143">
        <f t="shared" si="3"/>
        <v>0</v>
      </c>
      <c r="F23" s="143">
        <f t="shared" si="3"/>
        <v>0</v>
      </c>
      <c r="G23" s="143">
        <f t="shared" si="3"/>
        <v>0</v>
      </c>
      <c r="H23" s="143">
        <f t="shared" si="3"/>
        <v>0</v>
      </c>
      <c r="I23" s="81"/>
      <c r="J23" s="81"/>
    </row>
    <row r="24" spans="1:10" x14ac:dyDescent="0.2">
      <c r="A24" s="892" t="s">
        <v>71</v>
      </c>
      <c r="B24" s="893"/>
      <c r="C24" s="297"/>
      <c r="D24" s="297"/>
      <c r="E24" s="297"/>
      <c r="F24" s="297"/>
      <c r="G24" s="297"/>
      <c r="H24" s="297"/>
      <c r="I24" s="294"/>
      <c r="J24" s="294"/>
    </row>
    <row r="25" spans="1:10" x14ac:dyDescent="0.2">
      <c r="A25" s="886" t="s">
        <v>38</v>
      </c>
      <c r="B25" s="887"/>
      <c r="C25" s="298"/>
      <c r="D25" s="298"/>
      <c r="E25" s="298"/>
      <c r="F25" s="298"/>
      <c r="G25" s="298"/>
      <c r="H25" s="298"/>
      <c r="I25" s="294"/>
      <c r="J25" s="294"/>
    </row>
    <row r="26" spans="1:10" x14ac:dyDescent="0.2">
      <c r="A26" s="888" t="s">
        <v>67</v>
      </c>
      <c r="B26" s="889"/>
      <c r="C26" s="323"/>
      <c r="D26" s="297"/>
      <c r="E26" s="297"/>
      <c r="F26" s="297"/>
      <c r="G26" s="297"/>
      <c r="H26" s="297"/>
      <c r="I26" s="294"/>
      <c r="J26" s="294"/>
    </row>
    <row r="27" spans="1:10" x14ac:dyDescent="0.2">
      <c r="A27" s="890" t="s">
        <v>68</v>
      </c>
      <c r="B27" s="891"/>
      <c r="C27" s="329"/>
      <c r="D27" s="318"/>
      <c r="E27" s="318"/>
      <c r="F27" s="318"/>
      <c r="G27" s="318"/>
      <c r="H27" s="318"/>
      <c r="I27" s="294"/>
      <c r="J27" s="294"/>
    </row>
    <row r="28" spans="1:10" x14ac:dyDescent="0.2">
      <c r="A28" s="331"/>
      <c r="B28" s="330"/>
      <c r="C28" s="144">
        <f t="shared" ref="C28:H28" si="4">IF((C24+C25)=0,0,IF(AND((C24-C26)&gt;=0,(C25-C27)&gt;=0),(C24+C25-C26-C27),IF(AND((C24-C26)&gt;0,(C25-C27)&lt;0),(C24-C26),IF(AND((C24-C26)&lt;0,(C25-C27)&gt;0),(C25-C27),IF((C24-C26)&gt;0,(C24-C26),IF((C24-C26)&lt;0,0))))))</f>
        <v>0</v>
      </c>
      <c r="D28" s="144">
        <f t="shared" si="4"/>
        <v>0</v>
      </c>
      <c r="E28" s="144">
        <f t="shared" si="4"/>
        <v>0</v>
      </c>
      <c r="F28" s="144">
        <f t="shared" si="4"/>
        <v>0</v>
      </c>
      <c r="G28" s="144">
        <f t="shared" si="4"/>
        <v>0</v>
      </c>
      <c r="H28" s="144">
        <f t="shared" si="4"/>
        <v>0</v>
      </c>
      <c r="I28" s="239"/>
      <c r="J28" s="239"/>
    </row>
    <row r="29" spans="1:10" s="614" customFormat="1" x14ac:dyDescent="0.2">
      <c r="A29" s="1061"/>
      <c r="B29" s="1061"/>
      <c r="C29" s="617">
        <f>IF(AND(C18&gt;0,AS!C53&gt;0),C18,0)</f>
        <v>0</v>
      </c>
      <c r="D29" s="617">
        <f>IF(AND(D18&gt;0,AS!D53&gt;0),D18,0)</f>
        <v>0</v>
      </c>
      <c r="E29" s="617">
        <f>IF(AND(E18&gt;0,AS!E53&gt;0),E18,0)</f>
        <v>0</v>
      </c>
      <c r="F29" s="617">
        <f>IF(AND(F18&gt;0,AS!F53&gt;0),F18,0)</f>
        <v>0</v>
      </c>
      <c r="G29" s="617">
        <f>IF(AND(G18&gt;0,AS!G53&gt;0),G18,0)</f>
        <v>0</v>
      </c>
      <c r="H29" s="617">
        <f>IF(AND(H18&gt;0,AS!H53&gt;0),H18,0)</f>
        <v>0</v>
      </c>
      <c r="I29" s="84"/>
      <c r="J29" s="613"/>
    </row>
    <row r="30" spans="1:10" x14ac:dyDescent="0.2">
      <c r="A30" s="239"/>
      <c r="B30" s="1044"/>
      <c r="C30" s="1044"/>
      <c r="D30" s="409"/>
      <c r="E30" s="409"/>
      <c r="F30" s="409"/>
      <c r="G30" s="409"/>
      <c r="H30" s="409"/>
      <c r="I30" s="409"/>
      <c r="J30" s="239"/>
    </row>
    <row r="31" spans="1:10" x14ac:dyDescent="0.2">
      <c r="A31" s="239"/>
      <c r="B31" s="1045"/>
      <c r="C31" s="1045"/>
      <c r="D31" s="334"/>
      <c r="E31" s="334"/>
      <c r="F31" s="334"/>
      <c r="G31" s="334"/>
      <c r="H31" s="334"/>
      <c r="I31" s="334"/>
      <c r="J31" s="239"/>
    </row>
    <row r="32" spans="1:10" x14ac:dyDescent="0.2">
      <c r="A32" s="239"/>
      <c r="B32" s="1045"/>
      <c r="C32" s="1045"/>
      <c r="D32" s="334"/>
      <c r="E32" s="334"/>
      <c r="F32" s="334"/>
      <c r="G32" s="334"/>
      <c r="H32" s="334"/>
      <c r="I32" s="334"/>
      <c r="J32" s="239"/>
    </row>
    <row r="33" spans="1:10" x14ac:dyDescent="0.2">
      <c r="A33" s="239"/>
      <c r="B33" s="332"/>
      <c r="C33" s="332"/>
      <c r="D33" s="334"/>
      <c r="E33" s="334"/>
      <c r="F33" s="334"/>
      <c r="G33" s="334"/>
      <c r="H33" s="334"/>
      <c r="I33" s="334"/>
      <c r="J33" s="239"/>
    </row>
    <row r="34" spans="1:10" x14ac:dyDescent="0.2">
      <c r="A34" s="239"/>
      <c r="B34" s="239"/>
      <c r="C34" s="239"/>
      <c r="D34" s="239"/>
      <c r="E34" s="239"/>
      <c r="F34" s="239"/>
      <c r="G34" s="239"/>
      <c r="H34" s="239"/>
      <c r="I34" s="239"/>
      <c r="J34" s="239"/>
    </row>
    <row r="35" spans="1:10" x14ac:dyDescent="0.2">
      <c r="A35" s="239"/>
      <c r="B35" s="239"/>
      <c r="C35" s="239"/>
      <c r="D35" s="239"/>
      <c r="E35" s="239"/>
      <c r="F35" s="239"/>
      <c r="G35" s="239"/>
      <c r="H35" s="239"/>
      <c r="I35" s="239"/>
      <c r="J35" s="239"/>
    </row>
    <row r="36" spans="1:10" x14ac:dyDescent="0.2">
      <c r="A36" s="239"/>
      <c r="B36" s="239"/>
      <c r="C36" s="239"/>
      <c r="D36" s="239"/>
      <c r="E36" s="239"/>
      <c r="F36" s="239"/>
      <c r="G36" s="239"/>
      <c r="H36" s="239"/>
      <c r="I36" s="239"/>
      <c r="J36" s="239"/>
    </row>
    <row r="37" spans="1:10" ht="15" x14ac:dyDescent="0.25">
      <c r="A37" s="931" t="s">
        <v>29</v>
      </c>
      <c r="B37" s="932"/>
      <c r="C37" s="255" t="e">
        <f>EDATE(BG!D2,-6)</f>
        <v>#NUM!</v>
      </c>
      <c r="D37" s="255" t="e">
        <f>EDATE(BG!D2,-5)</f>
        <v>#NUM!</v>
      </c>
      <c r="E37" s="255" t="e">
        <f>EDATE(BG!D2,-4)</f>
        <v>#NUM!</v>
      </c>
      <c r="F37" s="255" t="e">
        <f>EDATE(BG!D2,-3)</f>
        <v>#NUM!</v>
      </c>
      <c r="G37" s="255" t="e">
        <f>EDATE(BG!D2,-2)</f>
        <v>#NUM!</v>
      </c>
      <c r="H37" s="255" t="e">
        <f>EDATE(BG!D2,-1)</f>
        <v>#NUM!</v>
      </c>
      <c r="I37" s="292"/>
      <c r="J37" s="292"/>
    </row>
    <row r="38" spans="1:10" x14ac:dyDescent="0.2">
      <c r="A38" s="896" t="s">
        <v>73</v>
      </c>
      <c r="B38" s="897"/>
      <c r="C38" s="333"/>
      <c r="D38" s="333"/>
      <c r="E38" s="333"/>
      <c r="F38" s="333"/>
      <c r="G38" s="333"/>
      <c r="H38" s="333"/>
      <c r="I38" s="294"/>
      <c r="J38" s="294"/>
    </row>
    <row r="39" spans="1:10" x14ac:dyDescent="0.2">
      <c r="A39" s="868" t="s">
        <v>74</v>
      </c>
      <c r="B39" s="869"/>
      <c r="C39" s="333"/>
      <c r="D39" s="333"/>
      <c r="E39" s="333"/>
      <c r="F39" s="333"/>
      <c r="G39" s="333"/>
      <c r="H39" s="333"/>
      <c r="I39" s="294"/>
      <c r="J39" s="294"/>
    </row>
    <row r="40" spans="1:10" x14ac:dyDescent="0.2">
      <c r="A40" s="239"/>
      <c r="B40" s="239"/>
      <c r="C40" s="239"/>
      <c r="D40" s="239"/>
      <c r="E40" s="239"/>
      <c r="F40" s="239"/>
      <c r="G40" s="239"/>
      <c r="H40" s="239"/>
      <c r="I40" s="240"/>
      <c r="J40" s="240"/>
    </row>
    <row r="41" spans="1:10" x14ac:dyDescent="0.2">
      <c r="A41" s="1046" t="s">
        <v>252</v>
      </c>
      <c r="B41" s="1047"/>
      <c r="C41" s="363"/>
      <c r="D41" s="363"/>
      <c r="E41" s="363"/>
      <c r="F41" s="363"/>
      <c r="G41" s="363"/>
      <c r="H41" s="363"/>
      <c r="I41" s="294"/>
      <c r="J41" s="294"/>
    </row>
    <row r="42" spans="1:10" x14ac:dyDescent="0.2">
      <c r="A42" s="1042" t="s">
        <v>313</v>
      </c>
      <c r="B42" s="1043"/>
      <c r="C42" s="294"/>
      <c r="D42" s="294"/>
      <c r="E42" s="294"/>
      <c r="F42" s="294"/>
      <c r="G42" s="294"/>
      <c r="H42" s="410"/>
      <c r="I42" s="240"/>
      <c r="J42" s="240"/>
    </row>
    <row r="43" spans="1:10" x14ac:dyDescent="0.2">
      <c r="A43" s="884" t="s">
        <v>314</v>
      </c>
      <c r="B43" s="885"/>
      <c r="C43" s="336"/>
      <c r="D43" s="336"/>
      <c r="E43" s="336"/>
      <c r="F43" s="336"/>
      <c r="G43" s="336"/>
      <c r="H43" s="336"/>
      <c r="I43" s="294"/>
      <c r="J43" s="294"/>
    </row>
    <row r="44" spans="1:10" x14ac:dyDescent="0.2">
      <c r="A44" s="880" t="s">
        <v>495</v>
      </c>
      <c r="B44" s="881"/>
      <c r="C44" s="339"/>
      <c r="D44" s="339"/>
      <c r="E44" s="339"/>
      <c r="F44" s="339"/>
      <c r="G44" s="339"/>
      <c r="H44" s="339"/>
      <c r="I44" s="294"/>
      <c r="J44" s="294"/>
    </row>
    <row r="45" spans="1:10" x14ac:dyDescent="0.2">
      <c r="A45" s="882" t="s">
        <v>316</v>
      </c>
      <c r="B45" s="883"/>
      <c r="C45" s="339"/>
      <c r="D45" s="339"/>
      <c r="E45" s="339"/>
      <c r="F45" s="339"/>
      <c r="G45" s="339"/>
      <c r="H45" s="339"/>
      <c r="I45" s="294"/>
      <c r="J45" s="294"/>
    </row>
    <row r="46" spans="1:10" x14ac:dyDescent="0.2">
      <c r="A46" s="870" t="s">
        <v>317</v>
      </c>
      <c r="B46" s="871"/>
      <c r="C46" s="340" t="e">
        <f t="shared" ref="C46:H46" si="5">IF(AND(C96=0,C41&gt;0,C61&gt;17),30,0)</f>
        <v>#NUM!</v>
      </c>
      <c r="D46" s="340" t="e">
        <f t="shared" si="5"/>
        <v>#NUM!</v>
      </c>
      <c r="E46" s="340" t="e">
        <f t="shared" si="5"/>
        <v>#NUM!</v>
      </c>
      <c r="F46" s="340" t="e">
        <f t="shared" si="5"/>
        <v>#NUM!</v>
      </c>
      <c r="G46" s="340" t="e">
        <f t="shared" si="5"/>
        <v>#NUM!</v>
      </c>
      <c r="H46" s="340" t="e">
        <f t="shared" si="5"/>
        <v>#NUM!</v>
      </c>
      <c r="I46" s="240"/>
      <c r="J46" s="240"/>
    </row>
    <row r="47" spans="1:10" x14ac:dyDescent="0.2">
      <c r="A47" s="872" t="s">
        <v>58</v>
      </c>
      <c r="B47" s="872"/>
      <c r="C47" s="364"/>
      <c r="D47" s="364"/>
      <c r="E47" s="364"/>
      <c r="F47" s="364"/>
      <c r="G47" s="364"/>
      <c r="H47" s="364"/>
      <c r="I47" s="294"/>
      <c r="J47" s="294"/>
    </row>
    <row r="48" spans="1:10" x14ac:dyDescent="0.2">
      <c r="A48" s="873" t="s">
        <v>318</v>
      </c>
      <c r="B48" s="874"/>
      <c r="C48" s="336"/>
      <c r="D48" s="336"/>
      <c r="E48" s="336"/>
      <c r="F48" s="336"/>
      <c r="G48" s="336"/>
      <c r="H48" s="336"/>
      <c r="I48" s="294"/>
      <c r="J48" s="294"/>
    </row>
    <row r="49" spans="1:10" x14ac:dyDescent="0.2">
      <c r="A49" s="810" t="s">
        <v>319</v>
      </c>
      <c r="B49" s="810"/>
      <c r="C49" s="337"/>
      <c r="D49" s="337"/>
      <c r="E49" s="337"/>
      <c r="F49" s="337"/>
      <c r="G49" s="337"/>
      <c r="H49" s="337"/>
      <c r="I49" s="294"/>
      <c r="J49" s="294"/>
    </row>
    <row r="50" spans="1:10" x14ac:dyDescent="0.2">
      <c r="A50" s="810" t="s">
        <v>320</v>
      </c>
      <c r="B50" s="810"/>
      <c r="C50" s="287">
        <f t="shared" ref="C50:H50" si="6">IF(C41=ISBLANK(0),0,IF(C96&gt;0,SUM(C43:C49),IF(C96=0,IF(SUM(C43:C49)&lt;100,100,SUM(C43:C49)))))</f>
        <v>0</v>
      </c>
      <c r="D50" s="287">
        <f t="shared" si="6"/>
        <v>0</v>
      </c>
      <c r="E50" s="287">
        <f t="shared" si="6"/>
        <v>0</v>
      </c>
      <c r="F50" s="287">
        <f t="shared" si="6"/>
        <v>0</v>
      </c>
      <c r="G50" s="287">
        <f t="shared" si="6"/>
        <v>0</v>
      </c>
      <c r="H50" s="287">
        <f t="shared" si="6"/>
        <v>0</v>
      </c>
      <c r="I50" s="294"/>
      <c r="J50" s="294"/>
    </row>
    <row r="51" spans="1:10" x14ac:dyDescent="0.2">
      <c r="A51" s="810" t="s">
        <v>322</v>
      </c>
      <c r="B51" s="810"/>
      <c r="C51" s="287">
        <f t="shared" ref="C51:H51" si="7">IF(C41-C50&lt;0,0,C41-C50)</f>
        <v>0</v>
      </c>
      <c r="D51" s="287">
        <f t="shared" si="7"/>
        <v>0</v>
      </c>
      <c r="E51" s="287">
        <f t="shared" si="7"/>
        <v>0</v>
      </c>
      <c r="F51" s="287">
        <f t="shared" si="7"/>
        <v>0</v>
      </c>
      <c r="G51" s="287">
        <f t="shared" si="7"/>
        <v>0</v>
      </c>
      <c r="H51" s="287">
        <f t="shared" si="7"/>
        <v>0</v>
      </c>
      <c r="I51" s="240"/>
      <c r="J51" s="240"/>
    </row>
    <row r="52" spans="1:10" x14ac:dyDescent="0.2">
      <c r="A52" s="866" t="s">
        <v>321</v>
      </c>
      <c r="B52" s="867"/>
      <c r="C52" s="365"/>
      <c r="D52" s="365"/>
      <c r="E52" s="365"/>
      <c r="F52" s="365"/>
      <c r="G52" s="365"/>
      <c r="H52" s="365"/>
      <c r="I52" s="294"/>
      <c r="J52" s="294"/>
    </row>
    <row r="53" spans="1:10" x14ac:dyDescent="0.2">
      <c r="A53" s="868" t="s">
        <v>68</v>
      </c>
      <c r="B53" s="869"/>
      <c r="C53" s="333"/>
      <c r="D53" s="333"/>
      <c r="E53" s="333"/>
      <c r="F53" s="333"/>
      <c r="G53" s="333"/>
      <c r="H53" s="333"/>
      <c r="I53" s="294"/>
      <c r="J53" s="294"/>
    </row>
    <row r="54" spans="1:10" x14ac:dyDescent="0.2">
      <c r="A54" s="239"/>
      <c r="B54" s="239"/>
      <c r="C54" s="93">
        <f t="shared" ref="C54:H54" si="8">IF((C52-C53)&lt;0,0,(C52-C53))</f>
        <v>0</v>
      </c>
      <c r="D54" s="93">
        <f t="shared" si="8"/>
        <v>0</v>
      </c>
      <c r="E54" s="93">
        <f t="shared" si="8"/>
        <v>0</v>
      </c>
      <c r="F54" s="93">
        <f t="shared" si="8"/>
        <v>0</v>
      </c>
      <c r="G54" s="93">
        <f t="shared" si="8"/>
        <v>0</v>
      </c>
      <c r="H54" s="93">
        <f t="shared" si="8"/>
        <v>0</v>
      </c>
      <c r="I54" s="240"/>
      <c r="J54" s="240"/>
    </row>
    <row r="55" spans="1:10" x14ac:dyDescent="0.2">
      <c r="A55" s="239"/>
      <c r="B55" s="239"/>
      <c r="C55" s="93">
        <f t="shared" ref="C55:H55" si="9">IF(C38-C39&lt;0,0,C38-C39)</f>
        <v>0</v>
      </c>
      <c r="D55" s="93">
        <f t="shared" si="9"/>
        <v>0</v>
      </c>
      <c r="E55" s="93">
        <f t="shared" si="9"/>
        <v>0</v>
      </c>
      <c r="F55" s="93">
        <f t="shared" si="9"/>
        <v>0</v>
      </c>
      <c r="G55" s="93">
        <f t="shared" si="9"/>
        <v>0</v>
      </c>
      <c r="H55" s="93">
        <f t="shared" si="9"/>
        <v>0</v>
      </c>
      <c r="I55" s="240"/>
      <c r="J55" s="240"/>
    </row>
    <row r="56" spans="1:10" ht="15" x14ac:dyDescent="0.25">
      <c r="A56" s="902" t="s">
        <v>75</v>
      </c>
      <c r="B56" s="902"/>
      <c r="C56" s="342" t="s">
        <v>323</v>
      </c>
      <c r="D56" s="309"/>
      <c r="E56" s="309"/>
      <c r="F56" s="309"/>
      <c r="G56" s="309"/>
      <c r="H56" s="309"/>
      <c r="I56" s="240"/>
      <c r="J56" s="240"/>
    </row>
    <row r="57" spans="1:10" x14ac:dyDescent="0.2">
      <c r="A57" s="903" t="s">
        <v>56</v>
      </c>
      <c r="B57" s="903"/>
      <c r="C57" s="308"/>
      <c r="D57" s="308"/>
      <c r="E57" s="308"/>
      <c r="F57" s="308"/>
      <c r="G57" s="308"/>
      <c r="H57" s="308"/>
      <c r="I57" s="294"/>
      <c r="J57" s="294"/>
    </row>
    <row r="58" spans="1:10" x14ac:dyDescent="0.2">
      <c r="A58" s="903" t="s">
        <v>57</v>
      </c>
      <c r="B58" s="903"/>
      <c r="C58" s="308"/>
      <c r="D58" s="308"/>
      <c r="E58" s="308"/>
      <c r="F58" s="308"/>
      <c r="G58" s="308"/>
      <c r="H58" s="308"/>
      <c r="I58" s="294"/>
      <c r="J58" s="294"/>
    </row>
    <row r="59" spans="1:10" x14ac:dyDescent="0.2">
      <c r="A59" s="903" t="s">
        <v>58</v>
      </c>
      <c r="B59" s="903"/>
      <c r="C59" s="308"/>
      <c r="D59" s="308"/>
      <c r="E59" s="308"/>
      <c r="F59" s="308"/>
      <c r="G59" s="308"/>
      <c r="H59" s="308"/>
      <c r="I59" s="294"/>
      <c r="J59" s="294"/>
    </row>
    <row r="60" spans="1:10" x14ac:dyDescent="0.2">
      <c r="A60" s="903" t="s">
        <v>76</v>
      </c>
      <c r="B60" s="903"/>
      <c r="C60" s="343">
        <f>IF(C61&lt;18,0,IF(C46=30,0,IF((C75+C76+H78)&gt;0,0,IF(C96=0,30,IF(C96&gt;0,0)))))</f>
        <v>0</v>
      </c>
      <c r="D60" s="343">
        <f>IF(D61&lt;18,0,IF(D46=30,0,IF((D75+D76+H78)&gt;0,0,IF(D96=0,30,IF(D96&gt;0,0)))))</f>
        <v>0</v>
      </c>
      <c r="E60" s="343">
        <f>IF(E61&lt;18,0,IF(E46=30,0,IF((E75+E76+H78)&gt;0,0,IF(E96=0,30,IF(E96&gt;0,0)))))</f>
        <v>0</v>
      </c>
      <c r="F60" s="343">
        <f>IF(F61&lt;18,0,IF(F46=30,0,IF((F75+F76+H78)&gt;0,0,IF(F96=0,30,IF(F96&gt;0,0)))))</f>
        <v>0</v>
      </c>
      <c r="G60" s="343">
        <f>IF(G61&lt;18,0,IF(G46=30,0,IF((G75+G76+H78)&gt;0,0,IF(G96=0,30,IF(G96&gt;0,0)))))</f>
        <v>0</v>
      </c>
      <c r="H60" s="343">
        <f>IF(H61&lt;18,0,IF(H46=30,0,IF((H75+H76+H78)&gt;0,0,IF(H96=0,30,IF(H96&gt;0,0)))))</f>
        <v>0</v>
      </c>
      <c r="I60" s="239"/>
      <c r="J60" s="239"/>
    </row>
    <row r="61" spans="1:10" x14ac:dyDescent="0.2">
      <c r="A61" s="239"/>
      <c r="B61" s="239"/>
      <c r="C61" s="84">
        <f>IF(BG!$C$25=ISBLANK(0),0,IF(INT((C37-BG!$C$25)/365.25)&lt;0,0,INT((C37-BG!$C$25)/365.25)))</f>
        <v>0</v>
      </c>
      <c r="D61" s="84">
        <f>IF(BG!C25=ISBLANK(0),0,IF(MONTH(D37)=MONTH(BG!C25),INT((D37-BG!C25)/365.25)+1,INT((D37-BG!C25)/365.25)))</f>
        <v>0</v>
      </c>
      <c r="E61" s="84">
        <f>IF(BG!C25=ISBLANK(0),0,IF(MONTH(E37)=MONTH(BG!C25),INT((E37-BG!C25)/365.25)+1,INT((E364-BG!C25)/365.25)))</f>
        <v>0</v>
      </c>
      <c r="F61" s="84">
        <f>IF(BG!C25=ISBLANK(0),0,IF(MONTH(F37)=MONTH(BG!C25),INT((F37-BG!C25)/365.25)+1,INT((F37-BG!C25)/365.25)))</f>
        <v>0</v>
      </c>
      <c r="G61" s="84">
        <f>IF(BG!C25=ISBLANK(0),0,IF(MONTH(G37)=MONTH(BG!C25),INT((G37-BG!C25)/365.25)+1,INT((G37-BG!C25)/365.25)))</f>
        <v>0</v>
      </c>
      <c r="H61" s="84">
        <f>IF(BG!C25=ISBLANK(0),0,IF(MONTH(H37)=MONTH(BG!C25),INT((H37-BG!C25)/365.25)+1,INT((H37-BG!C25)/365.25)))</f>
        <v>0</v>
      </c>
      <c r="I61" s="239"/>
      <c r="J61" s="239"/>
    </row>
    <row r="62" spans="1:10" x14ac:dyDescent="0.2">
      <c r="A62" s="241"/>
      <c r="B62" s="344" t="s">
        <v>77</v>
      </c>
      <c r="C62" s="97">
        <f t="shared" ref="C62:H62" si="10">C7+C12+C17+C23+C28+C51+C54+C55</f>
        <v>0</v>
      </c>
      <c r="D62" s="97">
        <f t="shared" si="10"/>
        <v>0</v>
      </c>
      <c r="E62" s="97">
        <f t="shared" si="10"/>
        <v>0</v>
      </c>
      <c r="F62" s="97">
        <f t="shared" si="10"/>
        <v>0</v>
      </c>
      <c r="G62" s="97">
        <f t="shared" si="10"/>
        <v>0</v>
      </c>
      <c r="H62" s="97">
        <f t="shared" si="10"/>
        <v>0</v>
      </c>
      <c r="I62" s="258" t="s">
        <v>48</v>
      </c>
      <c r="J62" s="239"/>
    </row>
    <row r="63" spans="1:10" x14ac:dyDescent="0.2">
      <c r="A63" s="345"/>
      <c r="B63" s="346" t="s">
        <v>78</v>
      </c>
      <c r="C63" s="106">
        <f t="shared" ref="C63:H63" si="11">SUM(C57:C60)</f>
        <v>0</v>
      </c>
      <c r="D63" s="106">
        <f t="shared" si="11"/>
        <v>0</v>
      </c>
      <c r="E63" s="106">
        <f t="shared" si="11"/>
        <v>0</v>
      </c>
      <c r="F63" s="106">
        <f t="shared" si="11"/>
        <v>0</v>
      </c>
      <c r="G63" s="106">
        <f t="shared" si="11"/>
        <v>0</v>
      </c>
      <c r="H63" s="106">
        <f t="shared" si="11"/>
        <v>0</v>
      </c>
      <c r="I63" s="347"/>
      <c r="J63" s="239"/>
    </row>
    <row r="64" spans="1:10" x14ac:dyDescent="0.2">
      <c r="A64" s="281"/>
      <c r="B64" s="348" t="s">
        <v>79</v>
      </c>
      <c r="C64" s="296">
        <f t="shared" ref="C64:H64" si="12">IF((C62-C63)&lt;0,0,(C62-C63))</f>
        <v>0</v>
      </c>
      <c r="D64" s="296">
        <f t="shared" si="12"/>
        <v>0</v>
      </c>
      <c r="E64" s="296">
        <f t="shared" si="12"/>
        <v>0</v>
      </c>
      <c r="F64" s="296">
        <f t="shared" si="12"/>
        <v>0</v>
      </c>
      <c r="G64" s="296">
        <f t="shared" si="12"/>
        <v>0</v>
      </c>
      <c r="H64" s="296">
        <f t="shared" si="12"/>
        <v>0</v>
      </c>
      <c r="I64" s="287">
        <f>SUM(C64:H64)</f>
        <v>0</v>
      </c>
      <c r="J64" s="239"/>
    </row>
    <row r="65" spans="1:10" x14ac:dyDescent="0.2">
      <c r="A65" s="239"/>
      <c r="B65" s="239"/>
      <c r="C65" s="239"/>
      <c r="D65" s="239"/>
      <c r="E65" s="239"/>
      <c r="F65" s="239"/>
      <c r="G65" s="239"/>
      <c r="H65" s="239"/>
      <c r="I65" s="239"/>
      <c r="J65" s="239"/>
    </row>
    <row r="66" spans="1:10" x14ac:dyDescent="0.2">
      <c r="A66" s="239"/>
      <c r="B66" s="239"/>
      <c r="C66" s="239"/>
      <c r="D66" s="239"/>
      <c r="E66" s="239"/>
      <c r="F66" s="239"/>
      <c r="G66" s="239"/>
      <c r="H66" s="239"/>
      <c r="I66" s="239"/>
      <c r="J66" s="239"/>
    </row>
    <row r="67" spans="1:10" x14ac:dyDescent="0.2">
      <c r="A67" s="239"/>
      <c r="B67" s="239"/>
      <c r="C67" s="239"/>
      <c r="D67" s="239"/>
      <c r="E67" s="239"/>
      <c r="F67" s="239"/>
      <c r="G67" s="239"/>
      <c r="H67" s="239"/>
      <c r="I67" s="239"/>
      <c r="J67" s="239"/>
    </row>
    <row r="68" spans="1:10" x14ac:dyDescent="0.2">
      <c r="A68" s="239"/>
      <c r="B68" s="239"/>
      <c r="C68" s="239"/>
      <c r="D68" s="239"/>
      <c r="E68" s="239"/>
      <c r="F68" s="239"/>
      <c r="G68" s="239"/>
      <c r="H68" s="239"/>
      <c r="I68" s="239"/>
      <c r="J68" s="239"/>
    </row>
    <row r="69" spans="1:10" x14ac:dyDescent="0.2">
      <c r="A69" s="239"/>
      <c r="B69" s="239"/>
      <c r="C69" s="239"/>
      <c r="D69" s="239"/>
      <c r="E69" s="239"/>
      <c r="F69" s="239"/>
      <c r="G69" s="239"/>
      <c r="H69" s="239"/>
      <c r="I69" s="239"/>
      <c r="J69" s="239"/>
    </row>
    <row r="70" spans="1:10" x14ac:dyDescent="0.2">
      <c r="A70" s="239"/>
      <c r="B70" s="239"/>
      <c r="C70" s="239"/>
      <c r="D70" s="239"/>
      <c r="E70" s="239"/>
      <c r="F70" s="239"/>
      <c r="G70" s="239"/>
      <c r="H70" s="239"/>
      <c r="I70" s="239"/>
      <c r="J70" s="239"/>
    </row>
    <row r="71" spans="1:10" x14ac:dyDescent="0.2">
      <c r="A71" s="239"/>
      <c r="B71" s="239"/>
      <c r="C71" s="239"/>
      <c r="D71" s="239"/>
      <c r="E71" s="239"/>
      <c r="F71" s="239"/>
      <c r="G71" s="239"/>
      <c r="H71" s="239"/>
      <c r="I71" s="239"/>
      <c r="J71" s="239"/>
    </row>
    <row r="72" spans="1:10" ht="15" x14ac:dyDescent="0.25">
      <c r="A72" s="249"/>
      <c r="B72" s="239"/>
      <c r="C72" s="914" t="s">
        <v>46</v>
      </c>
      <c r="D72" s="914"/>
      <c r="E72" s="914"/>
      <c r="F72" s="914"/>
      <c r="G72" s="914"/>
      <c r="H72" s="914"/>
      <c r="I72" s="239"/>
      <c r="J72" s="239"/>
    </row>
    <row r="73" spans="1:10" ht="15" x14ac:dyDescent="0.25">
      <c r="A73" s="915" t="s">
        <v>29</v>
      </c>
      <c r="B73" s="915"/>
      <c r="C73" s="255" t="e">
        <f>EDATE(BG!D2,-6)</f>
        <v>#NUM!</v>
      </c>
      <c r="D73" s="255" t="e">
        <f>EDATE(BG!D2,-5)</f>
        <v>#NUM!</v>
      </c>
      <c r="E73" s="255" t="e">
        <f>EDATE(BG!D2,-4)</f>
        <v>#NUM!</v>
      </c>
      <c r="F73" s="255" t="e">
        <f>EDATE(BG!D2,-3)</f>
        <v>#NUM!</v>
      </c>
      <c r="G73" s="255" t="e">
        <f>EDATE(BG!D2,-2)</f>
        <v>#NUM!</v>
      </c>
      <c r="H73" s="255" t="e">
        <f>EDATE(BG!D2,-1)</f>
        <v>#NUM!</v>
      </c>
      <c r="I73" s="245"/>
      <c r="J73" s="292"/>
    </row>
    <row r="74" spans="1:10" x14ac:dyDescent="0.2">
      <c r="A74" s="1050" t="s">
        <v>596</v>
      </c>
      <c r="B74" s="1051"/>
      <c r="C74" s="366" t="s">
        <v>185</v>
      </c>
      <c r="D74" s="366" t="s">
        <v>185</v>
      </c>
      <c r="E74" s="366" t="s">
        <v>185</v>
      </c>
      <c r="F74" s="366" t="s">
        <v>185</v>
      </c>
      <c r="G74" s="366" t="s">
        <v>185</v>
      </c>
      <c r="H74" s="366" t="s">
        <v>185</v>
      </c>
      <c r="I74" s="345"/>
      <c r="J74" s="332" t="str">
        <f>IF(SUM(C77:H77)&gt;0,"bitte hier"," ")</f>
        <v xml:space="preserve"> </v>
      </c>
    </row>
    <row r="75" spans="1:10" x14ac:dyDescent="0.2">
      <c r="A75" s="916" t="s">
        <v>47</v>
      </c>
      <c r="B75" s="916"/>
      <c r="C75" s="264"/>
      <c r="D75" s="264"/>
      <c r="E75" s="264"/>
      <c r="F75" s="264"/>
      <c r="G75" s="264"/>
      <c r="H75" s="264"/>
      <c r="I75" s="311"/>
      <c r="J75" s="367" t="str">
        <f>IF(SUM(C77:H77)&gt;0,"eintragen"," ")</f>
        <v xml:space="preserve"> </v>
      </c>
    </row>
    <row r="76" spans="1:10" x14ac:dyDescent="0.2">
      <c r="A76" s="917" t="s">
        <v>38</v>
      </c>
      <c r="B76" s="917"/>
      <c r="C76" s="266"/>
      <c r="D76" s="266"/>
      <c r="E76" s="266"/>
      <c r="F76" s="266"/>
      <c r="G76" s="266"/>
      <c r="H76" s="266"/>
      <c r="I76" s="368" t="str">
        <f>IF(SUM(C77:H77)&gt;0,"Beginn d."," ")</f>
        <v xml:space="preserve"> </v>
      </c>
      <c r="J76" s="1052"/>
    </row>
    <row r="77" spans="1:10" x14ac:dyDescent="0.2">
      <c r="A77" s="918" t="s">
        <v>242</v>
      </c>
      <c r="B77" s="918"/>
      <c r="C77" s="369"/>
      <c r="D77" s="369"/>
      <c r="E77" s="369"/>
      <c r="F77" s="369"/>
      <c r="G77" s="369"/>
      <c r="H77" s="369"/>
      <c r="I77" s="370" t="str">
        <f>IF(SUM(C77:H77)&gt;0,"Selbständigkeit:"," ")</f>
        <v xml:space="preserve"> </v>
      </c>
      <c r="J77" s="1053"/>
    </row>
    <row r="78" spans="1:10" x14ac:dyDescent="0.2">
      <c r="A78" s="239"/>
      <c r="B78" s="239"/>
      <c r="C78" s="248"/>
      <c r="D78" s="248"/>
      <c r="E78" s="142" t="s">
        <v>48</v>
      </c>
      <c r="F78" s="83">
        <f>SUM(C77:H77)</f>
        <v>0</v>
      </c>
      <c r="G78" s="81" t="s">
        <v>49</v>
      </c>
      <c r="H78" s="83" t="e">
        <f>ROUND((F78/J81),2)</f>
        <v>#NUM!</v>
      </c>
      <c r="I78" s="411" t="str">
        <f>IF(SUM(C77:H77)&gt;0,"Ende d."," ")</f>
        <v xml:space="preserve"> </v>
      </c>
      <c r="J78" s="1048"/>
    </row>
    <row r="79" spans="1:10" x14ac:dyDescent="0.2">
      <c r="A79" s="921" t="s">
        <v>50</v>
      </c>
      <c r="B79" s="922"/>
      <c r="C79" s="297"/>
      <c r="D79" s="297"/>
      <c r="E79" s="297"/>
      <c r="F79" s="297"/>
      <c r="G79" s="297"/>
      <c r="H79" s="297"/>
      <c r="I79" s="370" t="str">
        <f>IF(SUM(C77:H77)&gt;0,"Selbständigkeit:"," ")</f>
        <v xml:space="preserve"> </v>
      </c>
      <c r="J79" s="1049"/>
    </row>
    <row r="80" spans="1:10" x14ac:dyDescent="0.2">
      <c r="A80" s="923" t="s">
        <v>51</v>
      </c>
      <c r="B80" s="924"/>
      <c r="C80" s="298"/>
      <c r="D80" s="298"/>
      <c r="E80" s="298"/>
      <c r="F80" s="298"/>
      <c r="G80" s="298"/>
      <c r="H80" s="298"/>
      <c r="I80" s="1054" t="str">
        <f>IF(SUM(C77:H77)&gt;0,"Format: Monat Jahr"," ")</f>
        <v xml:space="preserve"> </v>
      </c>
      <c r="J80" s="1055"/>
    </row>
    <row r="81" spans="1:10" x14ac:dyDescent="0.2">
      <c r="A81" s="925" t="s">
        <v>52</v>
      </c>
      <c r="B81" s="925"/>
      <c r="C81" s="371"/>
      <c r="D81" s="371"/>
      <c r="E81" s="371"/>
      <c r="F81" s="371"/>
      <c r="G81" s="371"/>
      <c r="H81" s="371"/>
      <c r="I81" s="198" t="e">
        <f>IF(J76&lt;MEG!C6,6,DATEDIF(J76,MEG!E6,"m")+1)</f>
        <v>#NUM!</v>
      </c>
      <c r="J81" s="199" t="e">
        <f>IF(J78=ISBLANK(0),I81,IF(J76=ISBLANK(0),I82,DATEDIF(I84,J84,"m")+1))</f>
        <v>#NUM!</v>
      </c>
    </row>
    <row r="82" spans="1:10" x14ac:dyDescent="0.2">
      <c r="A82" s="1056" t="s">
        <v>54</v>
      </c>
      <c r="B82" s="1056"/>
      <c r="C82" s="413"/>
      <c r="D82" s="413"/>
      <c r="E82" s="413"/>
      <c r="F82" s="413"/>
      <c r="G82" s="413"/>
      <c r="H82" s="413"/>
      <c r="I82" s="198" t="e">
        <f>IF(J78&lt;MEG!C6,6,DATEDIF(MEG!C6,J78,"m")+1)</f>
        <v>#NUM!</v>
      </c>
      <c r="J82" s="199"/>
    </row>
    <row r="83" spans="1:10" x14ac:dyDescent="0.2">
      <c r="A83" s="1057"/>
      <c r="B83" s="1057"/>
      <c r="C83" s="126" t="s">
        <v>48</v>
      </c>
      <c r="D83" s="83">
        <f>SUM(C81:H82)</f>
        <v>0</v>
      </c>
      <c r="E83" s="81" t="s">
        <v>49</v>
      </c>
      <c r="F83" s="83" t="e">
        <f>ROUND((D83/J81),2)</f>
        <v>#NUM!</v>
      </c>
      <c r="G83" s="90" t="s">
        <v>53</v>
      </c>
      <c r="H83" s="91" t="e">
        <f>IF((H78-F83)&lt;0,0,(H78-F83))</f>
        <v>#NUM!</v>
      </c>
      <c r="I83" s="81"/>
      <c r="J83" s="81"/>
    </row>
    <row r="84" spans="1:10" x14ac:dyDescent="0.2">
      <c r="A84" s="239"/>
      <c r="B84" s="292"/>
      <c r="C84" s="373"/>
      <c r="D84" s="373"/>
      <c r="E84" s="373"/>
      <c r="F84" s="373"/>
      <c r="G84" s="373"/>
      <c r="H84" s="374"/>
      <c r="I84" s="179" t="e">
        <f>IF(J76&lt;MEG!C6,MEG!C6,J76)</f>
        <v>#NUM!</v>
      </c>
      <c r="J84" s="179" t="e">
        <f>IF(J78&gt;MEG!E6,MEG!E6,J78)</f>
        <v>#NUM!</v>
      </c>
    </row>
    <row r="85" spans="1:10" x14ac:dyDescent="0.2">
      <c r="A85" s="925" t="s">
        <v>54</v>
      </c>
      <c r="B85" s="925"/>
      <c r="C85" s="302">
        <f t="shared" ref="C85:H85" si="13">SUM(C88,(C86*ROUND(C87,0)*0.2))</f>
        <v>0</v>
      </c>
      <c r="D85" s="302">
        <f t="shared" si="13"/>
        <v>0</v>
      </c>
      <c r="E85" s="302">
        <f t="shared" si="13"/>
        <v>0</v>
      </c>
      <c r="F85" s="302">
        <f t="shared" si="13"/>
        <v>0</v>
      </c>
      <c r="G85" s="302">
        <f t="shared" si="13"/>
        <v>0</v>
      </c>
      <c r="H85" s="302">
        <f t="shared" si="13"/>
        <v>0</v>
      </c>
      <c r="I85" s="203" t="e">
        <f>I84</f>
        <v>#NUM!</v>
      </c>
      <c r="J85" s="179" t="e">
        <f>IF(J78=ISBLANK(0),H73+1,J78)</f>
        <v>#NUM!</v>
      </c>
    </row>
    <row r="86" spans="1:10" x14ac:dyDescent="0.2">
      <c r="A86" s="927" t="s">
        <v>234</v>
      </c>
      <c r="B86" s="928"/>
      <c r="C86" s="375"/>
      <c r="D86" s="375"/>
      <c r="E86" s="375"/>
      <c r="F86" s="375"/>
      <c r="G86" s="375"/>
      <c r="H86" s="375"/>
      <c r="I86" s="202" t="e">
        <f>IF(I84&gt;C73,0,IF(J85&lt;C73,0,H83))</f>
        <v>#NUM!</v>
      </c>
      <c r="J86" s="81"/>
    </row>
    <row r="87" spans="1:10" x14ac:dyDescent="0.2">
      <c r="A87" s="927" t="s">
        <v>235</v>
      </c>
      <c r="B87" s="928"/>
      <c r="C87" s="375"/>
      <c r="D87" s="375"/>
      <c r="E87" s="375"/>
      <c r="F87" s="375"/>
      <c r="G87" s="375"/>
      <c r="H87" s="375"/>
      <c r="I87" s="202" t="e">
        <f>IF(I84&gt;D73,0,IF(J85&lt;D73,0,H83))</f>
        <v>#NUM!</v>
      </c>
      <c r="J87" s="81"/>
    </row>
    <row r="88" spans="1:10" x14ac:dyDescent="0.2">
      <c r="A88" s="929" t="s">
        <v>237</v>
      </c>
      <c r="B88" s="930"/>
      <c r="C88" s="372"/>
      <c r="D88" s="372"/>
      <c r="E88" s="372"/>
      <c r="F88" s="372"/>
      <c r="G88" s="372"/>
      <c r="H88" s="372"/>
      <c r="I88" s="202" t="e">
        <f>IF(I84&gt;E73,0,IF(J85&lt;E73,0,H83))</f>
        <v>#NUM!</v>
      </c>
      <c r="J88" s="81"/>
    </row>
    <row r="89" spans="1:10" x14ac:dyDescent="0.2">
      <c r="A89" s="926" t="s">
        <v>55</v>
      </c>
      <c r="B89" s="926"/>
      <c r="C89" s="305">
        <f t="shared" ref="C89:H89" si="14">C90*C91</f>
        <v>0</v>
      </c>
      <c r="D89" s="305">
        <f t="shared" si="14"/>
        <v>0</v>
      </c>
      <c r="E89" s="305">
        <f t="shared" si="14"/>
        <v>0</v>
      </c>
      <c r="F89" s="305">
        <f t="shared" si="14"/>
        <v>0</v>
      </c>
      <c r="G89" s="305">
        <f t="shared" si="14"/>
        <v>0</v>
      </c>
      <c r="H89" s="305">
        <f t="shared" si="14"/>
        <v>0</v>
      </c>
      <c r="I89" s="202" t="e">
        <f>IF(I84&gt;F73,0,IF(J85&lt;F73,0,H83))</f>
        <v>#NUM!</v>
      </c>
      <c r="J89" s="83"/>
    </row>
    <row r="90" spans="1:10" x14ac:dyDescent="0.2">
      <c r="A90" s="898" t="s">
        <v>238</v>
      </c>
      <c r="B90" s="899"/>
      <c r="C90" s="375"/>
      <c r="D90" s="375"/>
      <c r="E90" s="375"/>
      <c r="F90" s="375"/>
      <c r="G90" s="375"/>
      <c r="H90" s="375"/>
      <c r="I90" s="202" t="e">
        <f>IF(I84&gt;G73,0,IF(J85&lt;G73,0,H83))</f>
        <v>#NUM!</v>
      </c>
      <c r="J90" s="81"/>
    </row>
    <row r="91" spans="1:10" x14ac:dyDescent="0.2">
      <c r="A91" s="942" t="s">
        <v>239</v>
      </c>
      <c r="B91" s="943"/>
      <c r="C91" s="376"/>
      <c r="D91" s="376"/>
      <c r="E91" s="376"/>
      <c r="F91" s="376"/>
      <c r="G91" s="376"/>
      <c r="H91" s="376"/>
      <c r="I91" s="202" t="e">
        <f>IF(I84&gt;H73,0,IF(J85&lt;H73,0,H83))</f>
        <v>#NUM!</v>
      </c>
      <c r="J91" s="81"/>
    </row>
    <row r="92" spans="1:10" x14ac:dyDescent="0.2">
      <c r="A92" s="937" t="s">
        <v>236</v>
      </c>
      <c r="B92" s="938"/>
      <c r="C92" s="307"/>
      <c r="D92" s="307"/>
      <c r="E92" s="307"/>
      <c r="F92" s="307"/>
      <c r="G92" s="307"/>
      <c r="H92" s="307"/>
      <c r="I92" s="356"/>
      <c r="J92" s="83"/>
    </row>
    <row r="93" spans="1:10" x14ac:dyDescent="0.2">
      <c r="A93" s="903" t="s">
        <v>56</v>
      </c>
      <c r="B93" s="903"/>
      <c r="C93" s="307"/>
      <c r="D93" s="307"/>
      <c r="E93" s="307"/>
      <c r="F93" s="307"/>
      <c r="G93" s="307"/>
      <c r="H93" s="307"/>
      <c r="I93" s="311"/>
      <c r="J93" s="294"/>
    </row>
    <row r="94" spans="1:10" x14ac:dyDescent="0.2">
      <c r="A94" s="903" t="s">
        <v>57</v>
      </c>
      <c r="B94" s="903"/>
      <c r="C94" s="307"/>
      <c r="D94" s="307"/>
      <c r="E94" s="307"/>
      <c r="F94" s="307"/>
      <c r="G94" s="307"/>
      <c r="H94" s="307"/>
      <c r="I94" s="311"/>
      <c r="J94" s="294"/>
    </row>
    <row r="95" spans="1:10" x14ac:dyDescent="0.2">
      <c r="A95" s="903" t="s">
        <v>58</v>
      </c>
      <c r="B95" s="903"/>
      <c r="C95" s="308"/>
      <c r="D95" s="308"/>
      <c r="E95" s="308"/>
      <c r="F95" s="308"/>
      <c r="G95" s="308"/>
      <c r="H95" s="308"/>
      <c r="I95" s="311"/>
      <c r="J95" s="294"/>
    </row>
    <row r="96" spans="1:10" x14ac:dyDescent="0.2">
      <c r="A96" s="239"/>
      <c r="B96" s="239"/>
      <c r="C96" s="93" t="e">
        <f>C75+I86</f>
        <v>#NUM!</v>
      </c>
      <c r="D96" s="93" t="e">
        <f>D75+I87</f>
        <v>#NUM!</v>
      </c>
      <c r="E96" s="93" t="e">
        <f>E75+I88</f>
        <v>#NUM!</v>
      </c>
      <c r="F96" s="93" t="e">
        <f>F75+I89</f>
        <v>#NUM!</v>
      </c>
      <c r="G96" s="93" t="e">
        <f>G75+I90</f>
        <v>#NUM!</v>
      </c>
      <c r="H96" s="93" t="e">
        <f>H75+I91</f>
        <v>#NUM!</v>
      </c>
      <c r="I96" s="239"/>
      <c r="J96" s="239"/>
    </row>
    <row r="97" spans="1:10" x14ac:dyDescent="0.2">
      <c r="A97" s="903" t="s">
        <v>59</v>
      </c>
      <c r="B97" s="903"/>
      <c r="C97" s="287" t="e">
        <f>IF(C74="ja",Grundfreibeträge!G32,Grundfreibeträge!F32)</f>
        <v>#NUM!</v>
      </c>
      <c r="D97" s="287" t="e">
        <f>IF(D74="ja",Grundfreibeträge!G33,Grundfreibeträge!F33)</f>
        <v>#NUM!</v>
      </c>
      <c r="E97" s="287" t="e">
        <f>IF(E74="ja",Grundfreibeträge!G34,Grundfreibeträge!F34)</f>
        <v>#NUM!</v>
      </c>
      <c r="F97" s="287" t="e">
        <f>IF(F74="ja",Grundfreibeträge!G35,Grundfreibeträge!F35)</f>
        <v>#NUM!</v>
      </c>
      <c r="G97" s="287" t="e">
        <f>IF(G74="ja",Grundfreibeträge!G36,Grundfreibeträge!F36)</f>
        <v>#NUM!</v>
      </c>
      <c r="H97" s="287" t="e">
        <f>IF(H74="ja",Grundfreibeträge!G37,Grundfreibeträge!F37)</f>
        <v>#NUM!</v>
      </c>
      <c r="I97" s="239"/>
      <c r="J97" s="239"/>
    </row>
    <row r="98" spans="1:10" x14ac:dyDescent="0.2">
      <c r="A98" s="937" t="s">
        <v>597</v>
      </c>
      <c r="B98" s="938"/>
      <c r="C98" s="287" t="e">
        <f>MAX((MIN(C96,520)-C97)*0.2,0)</f>
        <v>#NUM!</v>
      </c>
      <c r="D98" s="287" t="e">
        <f t="shared" ref="D98:H98" si="15">MAX((MIN(D96,520)-D97)*0.2,0)</f>
        <v>#NUM!</v>
      </c>
      <c r="E98" s="287" t="e">
        <f t="shared" si="15"/>
        <v>#NUM!</v>
      </c>
      <c r="F98" s="287" t="e">
        <f t="shared" si="15"/>
        <v>#NUM!</v>
      </c>
      <c r="G98" s="287" t="e">
        <f t="shared" si="15"/>
        <v>#NUM!</v>
      </c>
      <c r="H98" s="287" t="e">
        <f t="shared" si="15"/>
        <v>#NUM!</v>
      </c>
      <c r="I98" s="778"/>
      <c r="J98" s="778"/>
    </row>
    <row r="99" spans="1:10" x14ac:dyDescent="0.2">
      <c r="A99" s="903" t="s">
        <v>60</v>
      </c>
      <c r="B99" s="903"/>
      <c r="C99" s="287" t="e">
        <f>MAX(MIN(C96-520,480)*0.3,0)</f>
        <v>#NUM!</v>
      </c>
      <c r="D99" s="287" t="e">
        <f t="shared" ref="D99:H99" si="16">MAX(MIN(D96-520,480)*0.3,0)</f>
        <v>#NUM!</v>
      </c>
      <c r="E99" s="287" t="e">
        <f t="shared" si="16"/>
        <v>#NUM!</v>
      </c>
      <c r="F99" s="287" t="e">
        <f t="shared" si="16"/>
        <v>#NUM!</v>
      </c>
      <c r="G99" s="287" t="e">
        <f t="shared" si="16"/>
        <v>#NUM!</v>
      </c>
      <c r="H99" s="287" t="e">
        <f t="shared" si="16"/>
        <v>#NUM!</v>
      </c>
      <c r="I99" s="239"/>
      <c r="J99" s="239"/>
    </row>
    <row r="100" spans="1:10" x14ac:dyDescent="0.2">
      <c r="A100" s="903" t="s">
        <v>61</v>
      </c>
      <c r="B100" s="903"/>
      <c r="C100" s="287" t="e">
        <f>IF(Grundfreibeträge!Q6="Kind ü18",Grundfreibeträge!H32,IF(C96&lt;1000,0,IF(C96&gt;=1500,50,ROUND((C96-1000)*10%,2))))</f>
        <v>#NUM!</v>
      </c>
      <c r="D100" s="287" t="e">
        <f>IF(Grundfreibeträge!Q6="Kind ü18",Grundfreibeträge!H33,IF(D96&lt;1000,0,IF(D96&gt;=1500,50,ROUND((D96-1000)*10%,2))))</f>
        <v>#NUM!</v>
      </c>
      <c r="E100" s="287" t="e">
        <f>IF(Grundfreibeträge!Q6="Kind ü18",Grundfreibeträge!H34,IF(E96&lt;1000,0,IF(E96&gt;=1500,50,ROUND((E96-1000)*10%,2))))</f>
        <v>#NUM!</v>
      </c>
      <c r="F100" s="287" t="e">
        <f>IF(Grundfreibeträge!Q6="Kind ü18",Grundfreibeträge!H35,IF(F96&lt;1000,0,IF(F96&gt;=1500,50,ROUND((F96-1000)*10%,2))))</f>
        <v>#NUM!</v>
      </c>
      <c r="G100" s="287" t="e">
        <f>IF(Grundfreibeträge!Q6="Kind ü18",Grundfreibeträge!H36,IF(G96&lt;1000,0,IF(G96&gt;=1500,50,ROUND((G96-1000)*10%,2))))</f>
        <v>#NUM!</v>
      </c>
      <c r="H100" s="287" t="e">
        <f>IF(Grundfreibeträge!Q6="Kind ü18",Grundfreibeträge!H37,IF(H96&lt;1000,0,IF(H96&gt;=1500,50,ROUND((H96-1000)*10%,2))))</f>
        <v>#NUM!</v>
      </c>
      <c r="I100" s="288" t="s">
        <v>48</v>
      </c>
      <c r="J100" s="239"/>
    </row>
    <row r="101" spans="1:10" x14ac:dyDescent="0.2">
      <c r="A101" s="903" t="s">
        <v>62</v>
      </c>
      <c r="B101" s="903"/>
      <c r="C101" s="287" t="e">
        <f>IF(C96=0,0,MAX(C96-C79-C97-C98-C99-C100,0))</f>
        <v>#NUM!</v>
      </c>
      <c r="D101" s="287" t="e">
        <f t="shared" ref="D101:H101" si="17">IF(D96=0,0,MAX(D96-D79-D97-D98-D99-D100,0))</f>
        <v>#NUM!</v>
      </c>
      <c r="E101" s="287" t="e">
        <f t="shared" si="17"/>
        <v>#NUM!</v>
      </c>
      <c r="F101" s="287" t="e">
        <f t="shared" si="17"/>
        <v>#NUM!</v>
      </c>
      <c r="G101" s="287" t="e">
        <f t="shared" si="17"/>
        <v>#NUM!</v>
      </c>
      <c r="H101" s="287" t="e">
        <f t="shared" si="17"/>
        <v>#NUM!</v>
      </c>
      <c r="I101" s="287" t="e">
        <f>SUM(C101:H101)</f>
        <v>#NUM!</v>
      </c>
      <c r="J101" s="239"/>
    </row>
    <row r="102" spans="1:10" x14ac:dyDescent="0.2">
      <c r="A102" s="239"/>
      <c r="B102" s="312"/>
      <c r="C102" s="83" t="e">
        <f>C75+C76+I86</f>
        <v>#NUM!</v>
      </c>
      <c r="D102" s="83" t="e">
        <f>D75+D76+I87</f>
        <v>#NUM!</v>
      </c>
      <c r="E102" s="83" t="e">
        <f>E75+E76+I88</f>
        <v>#NUM!</v>
      </c>
      <c r="F102" s="83" t="e">
        <f>F75+F76+I89</f>
        <v>#NUM!</v>
      </c>
      <c r="G102" s="83" t="e">
        <f>G75+G76+I90</f>
        <v>#NUM!</v>
      </c>
      <c r="H102" s="83" t="e">
        <f>H75+H76+I91</f>
        <v>#NUM!</v>
      </c>
      <c r="I102" s="294"/>
      <c r="J102" s="239"/>
    </row>
    <row r="103" spans="1:10" ht="15" x14ac:dyDescent="0.25">
      <c r="A103" s="239"/>
      <c r="B103" s="239"/>
      <c r="C103" s="83" t="e">
        <f t="shared" ref="C103:H103" si="18">IF(C102=0,0,IF(C102&lt;=100,0,IF(C102&lt;=1000,(C102-100)*20%,IF(C102&gt;1000,180))))</f>
        <v>#NUM!</v>
      </c>
      <c r="D103" s="83" t="e">
        <f t="shared" si="18"/>
        <v>#NUM!</v>
      </c>
      <c r="E103" s="83" t="e">
        <f t="shared" si="18"/>
        <v>#NUM!</v>
      </c>
      <c r="F103" s="83" t="e">
        <f t="shared" si="18"/>
        <v>#NUM!</v>
      </c>
      <c r="G103" s="83" t="e">
        <f t="shared" si="18"/>
        <v>#NUM!</v>
      </c>
      <c r="H103" s="83" t="e">
        <f t="shared" si="18"/>
        <v>#NUM!</v>
      </c>
      <c r="I103" s="313"/>
      <c r="J103" s="239"/>
    </row>
    <row r="104" spans="1:10" ht="15" x14ac:dyDescent="0.25">
      <c r="A104" s="909" t="s">
        <v>63</v>
      </c>
      <c r="B104" s="909"/>
      <c r="C104" s="97" t="e">
        <f t="shared" ref="C104:H104" si="19">IF(C102&lt;1000,0,IF(C102&gt;=1500,50,ROUND((C102-1000)*10%,2)))</f>
        <v>#NUM!</v>
      </c>
      <c r="D104" s="97" t="e">
        <f t="shared" si="19"/>
        <v>#NUM!</v>
      </c>
      <c r="E104" s="97" t="e">
        <f t="shared" si="19"/>
        <v>#NUM!</v>
      </c>
      <c r="F104" s="97" t="e">
        <f t="shared" si="19"/>
        <v>#NUM!</v>
      </c>
      <c r="G104" s="97" t="e">
        <f t="shared" si="19"/>
        <v>#NUM!</v>
      </c>
      <c r="H104" s="97" t="e">
        <f t="shared" si="19"/>
        <v>#NUM!</v>
      </c>
      <c r="I104" s="313"/>
      <c r="J104" s="239"/>
    </row>
    <row r="105" spans="1:10" x14ac:dyDescent="0.2">
      <c r="A105" s="908" t="s">
        <v>64</v>
      </c>
      <c r="B105" s="908"/>
      <c r="C105" s="296">
        <f t="shared" ref="C105:H105" si="20">IF(C76=0,0,(C103+C104)-(C99+C100))</f>
        <v>0</v>
      </c>
      <c r="D105" s="296">
        <f t="shared" si="20"/>
        <v>0</v>
      </c>
      <c r="E105" s="296">
        <f t="shared" si="20"/>
        <v>0</v>
      </c>
      <c r="F105" s="296">
        <f t="shared" si="20"/>
        <v>0</v>
      </c>
      <c r="G105" s="296">
        <f t="shared" si="20"/>
        <v>0</v>
      </c>
      <c r="H105" s="296">
        <f t="shared" si="20"/>
        <v>0</v>
      </c>
      <c r="I105" s="314" t="s">
        <v>48</v>
      </c>
      <c r="J105" s="239"/>
    </row>
    <row r="106" spans="1:10" x14ac:dyDescent="0.2">
      <c r="A106" s="810" t="s">
        <v>65</v>
      </c>
      <c r="B106" s="810"/>
      <c r="C106" s="287">
        <f t="shared" ref="C106:H106" si="21">IF(C76=0,0,IF(AND(C76&gt;0,C96&gt;0),C76-C80-C105,IF(C76-C80-C105-C97&lt;0,0,C76-C80-C105-C97)))</f>
        <v>0</v>
      </c>
      <c r="D106" s="287">
        <f t="shared" si="21"/>
        <v>0</v>
      </c>
      <c r="E106" s="287">
        <f t="shared" si="21"/>
        <v>0</v>
      </c>
      <c r="F106" s="287">
        <f t="shared" si="21"/>
        <v>0</v>
      </c>
      <c r="G106" s="287">
        <f t="shared" si="21"/>
        <v>0</v>
      </c>
      <c r="H106" s="287">
        <f t="shared" si="21"/>
        <v>0</v>
      </c>
      <c r="I106" s="287">
        <f>SUM(C106:H106)</f>
        <v>0</v>
      </c>
      <c r="J106" s="239"/>
    </row>
    <row r="107" spans="1:10" x14ac:dyDescent="0.2">
      <c r="A107" s="239"/>
      <c r="B107" s="239"/>
      <c r="C107" s="239"/>
      <c r="D107" s="239"/>
      <c r="E107" s="239"/>
      <c r="F107" s="239"/>
      <c r="G107" s="239"/>
      <c r="H107" s="239"/>
      <c r="I107" s="239"/>
      <c r="J107" s="239"/>
    </row>
    <row r="108" spans="1:10" x14ac:dyDescent="0.2">
      <c r="A108" s="239"/>
      <c r="B108" s="239"/>
      <c r="C108" s="239"/>
      <c r="D108" s="239"/>
      <c r="E108" s="239"/>
      <c r="F108" s="239"/>
      <c r="G108" s="239"/>
      <c r="H108" s="239"/>
      <c r="I108" s="239"/>
      <c r="J108" s="239"/>
    </row>
    <row r="109" spans="1:10" x14ac:dyDescent="0.2">
      <c r="A109" s="239"/>
      <c r="B109" s="239"/>
      <c r="C109" s="239"/>
      <c r="D109" s="239"/>
      <c r="E109" s="239"/>
      <c r="F109" s="239"/>
      <c r="G109" s="239"/>
      <c r="H109" s="239"/>
      <c r="I109" s="239"/>
      <c r="J109" s="239"/>
    </row>
    <row r="110" spans="1:10" ht="15" x14ac:dyDescent="0.25">
      <c r="A110" s="239"/>
      <c r="B110" s="944" t="s">
        <v>80</v>
      </c>
      <c r="C110" s="945"/>
      <c r="D110" s="946"/>
      <c r="E110" s="350" t="s">
        <v>48</v>
      </c>
      <c r="F110" s="377" t="s">
        <v>49</v>
      </c>
      <c r="G110" s="239"/>
      <c r="H110" s="239"/>
      <c r="I110" s="239"/>
      <c r="J110" s="239"/>
    </row>
    <row r="111" spans="1:10" x14ac:dyDescent="0.2">
      <c r="A111" s="239"/>
      <c r="B111" s="947" t="s">
        <v>81</v>
      </c>
      <c r="C111" s="948"/>
      <c r="D111" s="949"/>
      <c r="E111" s="352" t="e">
        <f>I101+I106</f>
        <v>#NUM!</v>
      </c>
      <c r="F111" s="352" t="e">
        <f>E111/6</f>
        <v>#NUM!</v>
      </c>
      <c r="G111" s="239"/>
      <c r="H111" s="239"/>
      <c r="I111" s="239"/>
      <c r="J111" s="239"/>
    </row>
    <row r="112" spans="1:10" x14ac:dyDescent="0.2">
      <c r="A112" s="239"/>
      <c r="B112" s="947" t="s">
        <v>82</v>
      </c>
      <c r="C112" s="948"/>
      <c r="D112" s="949"/>
      <c r="E112" s="352">
        <f>I64</f>
        <v>0</v>
      </c>
      <c r="F112" s="352">
        <f>E112/6</f>
        <v>0</v>
      </c>
      <c r="G112" s="239"/>
      <c r="H112" s="239"/>
      <c r="I112" s="239"/>
      <c r="J112" s="239"/>
    </row>
    <row r="113" spans="1:10" ht="15" x14ac:dyDescent="0.25">
      <c r="A113" s="239"/>
      <c r="B113" s="239"/>
      <c r="C113" s="239"/>
      <c r="D113" s="239"/>
      <c r="E113" s="378" t="s">
        <v>84</v>
      </c>
      <c r="F113" s="353" t="e">
        <f>F111+F112</f>
        <v>#NUM!</v>
      </c>
      <c r="G113" s="239"/>
      <c r="H113" s="239"/>
      <c r="I113" s="239"/>
      <c r="J113" s="239"/>
    </row>
    <row r="114" spans="1:10" x14ac:dyDescent="0.2">
      <c r="A114" s="239"/>
      <c r="B114" s="239"/>
      <c r="C114" s="239"/>
      <c r="D114" s="239"/>
      <c r="E114" s="239"/>
      <c r="F114" s="239"/>
      <c r="G114" s="239"/>
      <c r="H114" s="239"/>
      <c r="I114" s="239"/>
      <c r="J114" s="239"/>
    </row>
    <row r="115" spans="1:10" x14ac:dyDescent="0.2">
      <c r="A115" s="239"/>
      <c r="B115" s="239"/>
      <c r="C115" s="239"/>
      <c r="D115" s="239"/>
      <c r="E115" s="239"/>
      <c r="F115" s="239"/>
      <c r="G115" s="239"/>
      <c r="H115" s="239"/>
      <c r="I115" s="239"/>
      <c r="J115" s="239"/>
    </row>
    <row r="116" spans="1:10" x14ac:dyDescent="0.2">
      <c r="A116" s="239"/>
      <c r="B116" s="239"/>
      <c r="C116" s="239"/>
      <c r="D116" s="239"/>
      <c r="E116" s="239"/>
      <c r="F116" s="239"/>
      <c r="G116" s="239"/>
      <c r="H116" s="239"/>
      <c r="I116" s="239"/>
      <c r="J116" s="239"/>
    </row>
    <row r="117" spans="1:10" x14ac:dyDescent="0.2">
      <c r="A117" s="239"/>
      <c r="B117" s="239"/>
      <c r="C117" s="239"/>
      <c r="D117" s="239"/>
      <c r="E117" s="239"/>
      <c r="F117" s="239"/>
      <c r="G117" s="239"/>
      <c r="H117" s="239"/>
      <c r="I117" s="239"/>
      <c r="J117" s="239"/>
    </row>
    <row r="118" spans="1:10" x14ac:dyDescent="0.2">
      <c r="A118" s="239"/>
      <c r="B118" s="239"/>
      <c r="C118" s="239"/>
      <c r="D118" s="239"/>
      <c r="E118" s="239"/>
      <c r="F118" s="239"/>
      <c r="G118" s="239"/>
      <c r="H118" s="239"/>
      <c r="I118" s="239"/>
      <c r="J118" s="239"/>
    </row>
    <row r="119" spans="1:10" x14ac:dyDescent="0.2">
      <c r="A119" s="239"/>
      <c r="B119" s="239"/>
      <c r="C119" s="239"/>
      <c r="D119" s="239"/>
      <c r="E119" s="239"/>
      <c r="F119" s="1058" t="s">
        <v>85</v>
      </c>
      <c r="G119" s="1058"/>
      <c r="H119" s="379"/>
      <c r="I119" s="239"/>
      <c r="J119" s="239"/>
    </row>
    <row r="120" spans="1:10" x14ac:dyDescent="0.2">
      <c r="A120" s="239"/>
      <c r="B120" s="239"/>
      <c r="C120" s="239"/>
      <c r="D120" s="239"/>
      <c r="E120" s="239"/>
      <c r="F120" s="1059" t="s">
        <v>86</v>
      </c>
      <c r="G120" s="1059"/>
      <c r="H120" s="380"/>
      <c r="I120" s="239"/>
      <c r="J120" s="239"/>
    </row>
    <row r="121" spans="1:10" ht="15" x14ac:dyDescent="0.25">
      <c r="A121" s="239"/>
      <c r="B121" s="239"/>
      <c r="C121" s="239"/>
      <c r="D121" s="239"/>
      <c r="E121" s="239"/>
      <c r="F121" s="1060" t="s">
        <v>87</v>
      </c>
      <c r="G121" s="1060"/>
      <c r="H121" s="381" t="e">
        <f>IF(Kurzantrag!C16&gt;0,Kurzantrag!C16,ROUND(F113*45%,2))</f>
        <v>#NUM!</v>
      </c>
      <c r="I121" s="239"/>
      <c r="J121" s="239"/>
    </row>
    <row r="122" spans="1:10" x14ac:dyDescent="0.2">
      <c r="A122" s="239"/>
      <c r="B122" s="239"/>
      <c r="C122" s="239"/>
      <c r="D122" s="239"/>
      <c r="E122" s="239"/>
      <c r="F122" s="239"/>
      <c r="G122" s="239"/>
      <c r="H122" s="239"/>
      <c r="I122" s="239"/>
      <c r="J122" s="239"/>
    </row>
    <row r="123" spans="1:10" x14ac:dyDescent="0.2">
      <c r="A123" s="322"/>
      <c r="B123" s="322"/>
      <c r="C123" s="322"/>
      <c r="D123" s="322"/>
      <c r="E123" s="322"/>
      <c r="F123" s="322"/>
      <c r="G123" s="322"/>
      <c r="H123" s="322"/>
      <c r="I123" s="322"/>
      <c r="J123" s="322"/>
    </row>
    <row r="124" spans="1:10" x14ac:dyDescent="0.2">
      <c r="A124" s="239"/>
      <c r="B124" s="239"/>
      <c r="C124" s="239"/>
      <c r="D124" s="239"/>
      <c r="E124" s="239"/>
      <c r="F124" s="239"/>
      <c r="G124" s="239"/>
      <c r="H124" s="239"/>
      <c r="I124" s="239"/>
      <c r="J124" s="239"/>
    </row>
    <row r="125" spans="1:10" x14ac:dyDescent="0.2">
      <c r="A125" s="2"/>
      <c r="B125" s="2"/>
      <c r="C125" s="2"/>
      <c r="D125" s="2"/>
      <c r="E125" s="2"/>
      <c r="F125" s="2"/>
      <c r="G125" s="2"/>
      <c r="H125" s="2"/>
      <c r="I125" s="2"/>
      <c r="J125" s="2"/>
    </row>
    <row r="126" spans="1:10" x14ac:dyDescent="0.2">
      <c r="A126" s="2"/>
      <c r="B126" s="2"/>
      <c r="C126" s="2"/>
      <c r="D126" s="2"/>
      <c r="E126" s="2"/>
      <c r="F126" s="2"/>
      <c r="G126" s="2"/>
      <c r="H126" s="2"/>
      <c r="I126" s="2"/>
      <c r="J126" s="2"/>
    </row>
    <row r="127" spans="1:10" x14ac:dyDescent="0.2">
      <c r="A127" s="2"/>
      <c r="B127" s="2"/>
      <c r="C127" s="2"/>
      <c r="D127" s="2"/>
      <c r="E127" s="2"/>
      <c r="F127" s="2"/>
      <c r="G127" s="2"/>
      <c r="H127" s="2"/>
      <c r="I127" s="2"/>
      <c r="J127" s="2"/>
    </row>
    <row r="128" spans="1:10" x14ac:dyDescent="0.2">
      <c r="A128" s="2"/>
      <c r="B128" s="2"/>
      <c r="C128" s="2"/>
      <c r="D128" s="2"/>
      <c r="E128" s="2"/>
      <c r="F128" s="2"/>
      <c r="G128" s="2"/>
      <c r="H128" s="2"/>
      <c r="I128" s="2"/>
      <c r="J128" s="2"/>
    </row>
    <row r="129" spans="1:10" x14ac:dyDescent="0.2">
      <c r="A129" s="2"/>
      <c r="B129" s="2"/>
      <c r="C129" s="2"/>
      <c r="D129" s="2"/>
      <c r="E129" s="2"/>
      <c r="F129" s="2"/>
      <c r="G129" s="2"/>
      <c r="H129" s="2"/>
      <c r="I129" s="2"/>
      <c r="J129" s="2"/>
    </row>
    <row r="130" spans="1:10" x14ac:dyDescent="0.2">
      <c r="A130" s="2"/>
      <c r="B130" s="2"/>
      <c r="C130" s="2"/>
      <c r="D130" s="2"/>
      <c r="E130" s="2"/>
      <c r="F130" s="2"/>
      <c r="G130" s="2"/>
      <c r="H130" s="2"/>
      <c r="I130" s="2"/>
      <c r="J130" s="2"/>
    </row>
    <row r="131" spans="1:10" x14ac:dyDescent="0.2">
      <c r="A131" s="2"/>
      <c r="B131" s="2"/>
      <c r="C131" s="2"/>
      <c r="D131" s="2"/>
      <c r="E131" s="2"/>
      <c r="F131" s="2"/>
      <c r="G131" s="2"/>
      <c r="H131" s="2"/>
      <c r="I131" s="2"/>
      <c r="J131" s="2"/>
    </row>
    <row r="132" spans="1:10" x14ac:dyDescent="0.2">
      <c r="A132" s="2"/>
      <c r="B132" s="2"/>
      <c r="C132" s="2"/>
      <c r="D132" s="2"/>
      <c r="E132" s="2"/>
      <c r="F132" s="2"/>
      <c r="G132" s="2"/>
      <c r="H132" s="2"/>
      <c r="I132" s="2"/>
      <c r="J132" s="2"/>
    </row>
    <row r="133" spans="1:10" x14ac:dyDescent="0.2">
      <c r="A133" s="2"/>
      <c r="B133" s="2"/>
      <c r="C133" s="2"/>
      <c r="D133" s="2"/>
      <c r="E133" s="2"/>
      <c r="F133" s="2"/>
      <c r="G133" s="2"/>
      <c r="H133" s="2"/>
      <c r="I133" s="2"/>
      <c r="J133" s="2"/>
    </row>
    <row r="134" spans="1:10" x14ac:dyDescent="0.2">
      <c r="A134" s="2"/>
      <c r="B134" s="2"/>
      <c r="C134" s="2"/>
      <c r="D134" s="2"/>
      <c r="E134" s="2"/>
      <c r="F134" s="2"/>
      <c r="G134" s="2"/>
      <c r="H134" s="2"/>
      <c r="I134" s="2"/>
      <c r="J134" s="2"/>
    </row>
    <row r="135" spans="1:10" x14ac:dyDescent="0.2">
      <c r="A135" s="2"/>
      <c r="B135" s="2"/>
      <c r="C135" s="2"/>
      <c r="D135" s="2"/>
      <c r="E135" s="2"/>
      <c r="F135" s="2"/>
      <c r="G135" s="2"/>
      <c r="H135" s="2"/>
      <c r="I135" s="2"/>
      <c r="J135" s="2"/>
    </row>
  </sheetData>
  <sheetProtection algorithmName="SHA-512" hashValue="RxTkqzI0GX3VAlVzXMjmEk/0lTzNp64CluE9zbw2vIMoOLInv28plDshclU+xZzKnXEm2XMcZQ8xkmquZN0fcQ==" saltValue="trCBxxdnAMJ1WQguhYxMrg==" spinCount="100000" sheet="1" formatCells="0" formatColumns="0" formatRows="0" insertColumns="0" insertRows="0" insertHyperlinks="0" deleteColumns="0" deleteRows="0" sort="0" autoFilter="0" pivotTables="0"/>
  <mergeCells count="85">
    <mergeCell ref="B111:D111"/>
    <mergeCell ref="B112:D112"/>
    <mergeCell ref="F119:G119"/>
    <mergeCell ref="F120:G120"/>
    <mergeCell ref="F121:G121"/>
    <mergeCell ref="B110:D110"/>
    <mergeCell ref="A92:B92"/>
    <mergeCell ref="A93:B93"/>
    <mergeCell ref="A94:B94"/>
    <mergeCell ref="A95:B95"/>
    <mergeCell ref="A97:B97"/>
    <mergeCell ref="A99:B99"/>
    <mergeCell ref="A100:B100"/>
    <mergeCell ref="A101:B101"/>
    <mergeCell ref="A104:B104"/>
    <mergeCell ref="A105:B105"/>
    <mergeCell ref="A106:B106"/>
    <mergeCell ref="A98:B98"/>
    <mergeCell ref="A91:B91"/>
    <mergeCell ref="A80:B80"/>
    <mergeCell ref="I80:J80"/>
    <mergeCell ref="A81:B81"/>
    <mergeCell ref="A82:B82"/>
    <mergeCell ref="A83:B83"/>
    <mergeCell ref="A85:B85"/>
    <mergeCell ref="A86:B86"/>
    <mergeCell ref="A87:B87"/>
    <mergeCell ref="A88:B88"/>
    <mergeCell ref="A89:B89"/>
    <mergeCell ref="A90:B90"/>
    <mergeCell ref="J78:J79"/>
    <mergeCell ref="A79:B79"/>
    <mergeCell ref="A57:B57"/>
    <mergeCell ref="A58:B58"/>
    <mergeCell ref="A59:B59"/>
    <mergeCell ref="A60:B60"/>
    <mergeCell ref="C72:H72"/>
    <mergeCell ref="A73:B73"/>
    <mergeCell ref="A74:B74"/>
    <mergeCell ref="A75:B75"/>
    <mergeCell ref="A76:B76"/>
    <mergeCell ref="J76:J77"/>
    <mergeCell ref="A77:B77"/>
    <mergeCell ref="A56:B56"/>
    <mergeCell ref="A43:B43"/>
    <mergeCell ref="A44:B44"/>
    <mergeCell ref="A45:B45"/>
    <mergeCell ref="A46:B46"/>
    <mergeCell ref="A47:B47"/>
    <mergeCell ref="A48:B48"/>
    <mergeCell ref="A49:B49"/>
    <mergeCell ref="A50:B50"/>
    <mergeCell ref="A51:B51"/>
    <mergeCell ref="A52:B52"/>
    <mergeCell ref="A53:B53"/>
    <mergeCell ref="A42:B42"/>
    <mergeCell ref="A25:B25"/>
    <mergeCell ref="A26:B26"/>
    <mergeCell ref="A27:B27"/>
    <mergeCell ref="A29:B29"/>
    <mergeCell ref="B30:C30"/>
    <mergeCell ref="B31:C31"/>
    <mergeCell ref="B32:C32"/>
    <mergeCell ref="A37:B37"/>
    <mergeCell ref="A38:B38"/>
    <mergeCell ref="A39:B39"/>
    <mergeCell ref="A41:B41"/>
    <mergeCell ref="A24:B24"/>
    <mergeCell ref="A9:B9"/>
    <mergeCell ref="A10:B10"/>
    <mergeCell ref="A11:B11"/>
    <mergeCell ref="A13:B13"/>
    <mergeCell ref="A14:B14"/>
    <mergeCell ref="A15:B15"/>
    <mergeCell ref="A16:B16"/>
    <mergeCell ref="A18:B18"/>
    <mergeCell ref="A20:B20"/>
    <mergeCell ref="A21:B21"/>
    <mergeCell ref="A22:B22"/>
    <mergeCell ref="A8:B8"/>
    <mergeCell ref="C1:H1"/>
    <mergeCell ref="A3:B3"/>
    <mergeCell ref="A4:B4"/>
    <mergeCell ref="A5:B5"/>
    <mergeCell ref="A6:B6"/>
  </mergeCells>
  <dataValidations count="3">
    <dataValidation type="list" allowBlank="1" showInputMessage="1" showErrorMessage="1" sqref="C74:H74" xr:uid="{00000000-0002-0000-0A00-000000000000}">
      <formula1>".,ja,nein"</formula1>
    </dataValidation>
    <dataValidation type="decimal" allowBlank="1" showInputMessage="1" showErrorMessage="1" error="Der eingegebene Wert ist unzulässig. Bitte geben Sie eine Zahl ein, die größer 0 ist." sqref="C3:H6 C8:H11 C13:H16 C18:H22 C24:H27 C38:H39 C41:H41 C43:H45 C47:H49 C52:H53 C57:H59 C75:H77 C79:H82 C86:H88 C90:H95" xr:uid="{00000000-0002-0000-0A00-000001000000}">
      <formula1>0</formula1>
      <formula2>1000000</formula2>
    </dataValidation>
    <dataValidation allowBlank="1" showInputMessage="1" showErrorMessage="1" prompt="Bitte geben Sie das Datum im Format Monat Jahr ein (z.B. Beginn August 2012 = Aug 12)." sqref="J76:J79" xr:uid="{00000000-0002-0000-0A00-000002000000}"/>
  </dataValidations>
  <pageMargins left="0.70866141732283472" right="0.70866141732283472" top="0.8666666666666667" bottom="0.78740157480314965" header="0.31496062992125984" footer="0.31496062992125984"/>
  <pageSetup paperSize="9" scale="96" orientation="landscape" r:id="rId1"/>
  <headerFooter>
    <oddHeader>&amp;L&amp;"Arial,Fett"&amp;U4. Ermittlung des anzurechnenden Einkommens des Kindes / der Kinder:
4.1. Einkommensermittlung Kind 5:&amp;R&amp;D</oddHeader>
    <oddFooter>&amp;R&amp;P</oddFooter>
  </headerFooter>
  <rowBreaks count="3" manualBreakCount="3">
    <brk id="31" max="16383" man="1"/>
    <brk id="67" max="16383" man="1"/>
    <brk id="103"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8"/>
  <dimension ref="A1:J133"/>
  <sheetViews>
    <sheetView showGridLines="0" zoomScaleNormal="100" workbookViewId="0">
      <selection activeCell="C18" sqref="C18"/>
    </sheetView>
  </sheetViews>
  <sheetFormatPr baseColWidth="10" defaultRowHeight="14.25" x14ac:dyDescent="0.2"/>
  <cols>
    <col min="1" max="16384" width="11" style="1"/>
  </cols>
  <sheetData>
    <row r="1" spans="1:10" ht="15" x14ac:dyDescent="0.25">
      <c r="A1" s="96"/>
      <c r="B1" s="59"/>
      <c r="C1" s="952" t="s">
        <v>251</v>
      </c>
      <c r="D1" s="952"/>
      <c r="E1" s="952"/>
      <c r="F1" s="952"/>
      <c r="G1" s="952"/>
      <c r="H1" s="952"/>
      <c r="I1" s="2"/>
      <c r="J1" s="2"/>
    </row>
    <row r="2" spans="1:10" ht="15" x14ac:dyDescent="0.25">
      <c r="A2" s="187" t="s">
        <v>29</v>
      </c>
      <c r="B2" s="188"/>
      <c r="C2" s="66" t="e">
        <f>EDATE(BG!D2,-6)</f>
        <v>#NUM!</v>
      </c>
      <c r="D2" s="66" t="e">
        <f>EDATE(BG!D2,-5)</f>
        <v>#NUM!</v>
      </c>
      <c r="E2" s="66" t="e">
        <f>EDATE(BG!D2,-4)</f>
        <v>#NUM!</v>
      </c>
      <c r="F2" s="66" t="e">
        <f>EDATE(BG!D2,-3)</f>
        <v>#NUM!</v>
      </c>
      <c r="G2" s="66" t="e">
        <f>EDATE(BG!D2,-2)</f>
        <v>#NUM!</v>
      </c>
      <c r="H2" s="66" t="e">
        <f>EDATE(BG!D2,-1)</f>
        <v>#NUM!</v>
      </c>
      <c r="I2" s="169"/>
      <c r="J2" s="169"/>
    </row>
    <row r="3" spans="1:10" x14ac:dyDescent="0.2">
      <c r="A3" s="1021" t="s">
        <v>66</v>
      </c>
      <c r="B3" s="1022"/>
      <c r="C3" s="69"/>
      <c r="D3" s="69"/>
      <c r="E3" s="69"/>
      <c r="F3" s="69"/>
      <c r="G3" s="69"/>
      <c r="H3" s="69"/>
      <c r="I3" s="110"/>
      <c r="J3" s="110"/>
    </row>
    <row r="4" spans="1:10" x14ac:dyDescent="0.2">
      <c r="A4" s="1036" t="s">
        <v>38</v>
      </c>
      <c r="B4" s="1037"/>
      <c r="C4" s="70"/>
      <c r="D4" s="70"/>
      <c r="E4" s="70"/>
      <c r="F4" s="70"/>
      <c r="G4" s="70"/>
      <c r="H4" s="70"/>
      <c r="I4" s="110"/>
      <c r="J4" s="110"/>
    </row>
    <row r="5" spans="1:10" x14ac:dyDescent="0.2">
      <c r="A5" s="1025" t="s">
        <v>67</v>
      </c>
      <c r="B5" s="1026"/>
      <c r="C5" s="73"/>
      <c r="D5" s="73"/>
      <c r="E5" s="73"/>
      <c r="F5" s="73"/>
      <c r="G5" s="73"/>
      <c r="H5" s="73"/>
      <c r="I5" s="110"/>
      <c r="J5" s="110"/>
    </row>
    <row r="6" spans="1:10" x14ac:dyDescent="0.2">
      <c r="A6" s="1019" t="s">
        <v>68</v>
      </c>
      <c r="B6" s="1020"/>
      <c r="C6" s="74"/>
      <c r="D6" s="74"/>
      <c r="E6" s="74"/>
      <c r="F6" s="74"/>
      <c r="G6" s="74"/>
      <c r="H6" s="74"/>
      <c r="I6" s="110"/>
      <c r="J6" s="110"/>
    </row>
    <row r="7" spans="1:10" x14ac:dyDescent="0.2">
      <c r="A7" s="100"/>
      <c r="B7" s="100"/>
      <c r="C7" s="143">
        <f t="shared" ref="C7:H7" si="0">IF((C3+C4)=0,0,IF(AND((C3-C5)&gt;=0,(C4-C6)&gt;=0),(C3+C4-C5-C6),IF(AND((C3-C5)&gt;0,(C4-C6)&lt;0),(C3-C5),IF(AND((C3-C5)&lt;0,(C4-C6)&gt;0),(C4-C6),IF((C3-C5)&gt;0,(C3-C5),IF((C3-C5)&lt;0,0))))))</f>
        <v>0</v>
      </c>
      <c r="D7" s="143">
        <f t="shared" si="0"/>
        <v>0</v>
      </c>
      <c r="E7" s="143">
        <f t="shared" si="0"/>
        <v>0</v>
      </c>
      <c r="F7" s="143">
        <f t="shared" si="0"/>
        <v>0</v>
      </c>
      <c r="G7" s="143">
        <f t="shared" si="0"/>
        <v>0</v>
      </c>
      <c r="H7" s="143">
        <f t="shared" si="0"/>
        <v>0</v>
      </c>
      <c r="I7" s="59"/>
      <c r="J7" s="59"/>
    </row>
    <row r="8" spans="1:10" x14ac:dyDescent="0.2">
      <c r="A8" s="1038" t="s">
        <v>69</v>
      </c>
      <c r="B8" s="1039"/>
      <c r="C8" s="69"/>
      <c r="D8" s="69"/>
      <c r="E8" s="69"/>
      <c r="F8" s="69"/>
      <c r="G8" s="69"/>
      <c r="H8" s="69"/>
      <c r="I8" s="110"/>
      <c r="J8" s="110"/>
    </row>
    <row r="9" spans="1:10" x14ac:dyDescent="0.2">
      <c r="A9" s="1040" t="s">
        <v>38</v>
      </c>
      <c r="B9" s="1041"/>
      <c r="C9" s="70"/>
      <c r="D9" s="70"/>
      <c r="E9" s="70"/>
      <c r="F9" s="70"/>
      <c r="G9" s="70"/>
      <c r="H9" s="70"/>
      <c r="I9" s="110"/>
      <c r="J9" s="110"/>
    </row>
    <row r="10" spans="1:10" x14ac:dyDescent="0.2">
      <c r="A10" s="1025" t="s">
        <v>67</v>
      </c>
      <c r="B10" s="1026"/>
      <c r="C10" s="69"/>
      <c r="D10" s="69"/>
      <c r="E10" s="69"/>
      <c r="F10" s="69"/>
      <c r="G10" s="69"/>
      <c r="H10" s="69"/>
      <c r="I10" s="110"/>
      <c r="J10" s="110"/>
    </row>
    <row r="11" spans="1:10" x14ac:dyDescent="0.2">
      <c r="A11" s="1019" t="s">
        <v>68</v>
      </c>
      <c r="B11" s="1020"/>
      <c r="C11" s="74"/>
      <c r="D11" s="74"/>
      <c r="E11" s="74"/>
      <c r="F11" s="74"/>
      <c r="G11" s="74"/>
      <c r="H11" s="74"/>
      <c r="I11" s="110"/>
      <c r="J11" s="110"/>
    </row>
    <row r="12" spans="1:10" x14ac:dyDescent="0.2">
      <c r="A12" s="101"/>
      <c r="B12" s="101"/>
      <c r="C12" s="143">
        <f t="shared" ref="C12:H12" si="1">IF((C8+C9)=0,0,IF(AND((C8-C10)&gt;=0,(C9-C11)&gt;=0),(C8+C9-C10-C11),IF(AND((C8-C10)&gt;0,(C9-C11)&lt;0),(C8-C10),IF(AND((C8-C10)&lt;0,(C9-C11)&gt;0),(C9-C11),IF((C8-C10)&gt;0,(C8-C10),IF((C8-C10)&lt;0,0))))))</f>
        <v>0</v>
      </c>
      <c r="D12" s="143">
        <f t="shared" si="1"/>
        <v>0</v>
      </c>
      <c r="E12" s="143">
        <f t="shared" si="1"/>
        <v>0</v>
      </c>
      <c r="F12" s="143">
        <f t="shared" si="1"/>
        <v>0</v>
      </c>
      <c r="G12" s="143">
        <f t="shared" si="1"/>
        <v>0</v>
      </c>
      <c r="H12" s="143">
        <f t="shared" si="1"/>
        <v>0</v>
      </c>
      <c r="I12" s="59"/>
      <c r="J12" s="59"/>
    </row>
    <row r="13" spans="1:10" x14ac:dyDescent="0.2">
      <c r="A13" s="1021" t="s">
        <v>70</v>
      </c>
      <c r="B13" s="1022"/>
      <c r="C13" s="69"/>
      <c r="D13" s="69"/>
      <c r="E13" s="69"/>
      <c r="F13" s="69"/>
      <c r="G13" s="69"/>
      <c r="H13" s="69"/>
      <c r="I13" s="110"/>
      <c r="J13" s="110"/>
    </row>
    <row r="14" spans="1:10" x14ac:dyDescent="0.2">
      <c r="A14" s="1023" t="s">
        <v>38</v>
      </c>
      <c r="B14" s="1024"/>
      <c r="C14" s="70"/>
      <c r="D14" s="70"/>
      <c r="E14" s="70"/>
      <c r="F14" s="70"/>
      <c r="G14" s="70"/>
      <c r="H14" s="70"/>
      <c r="I14" s="110"/>
      <c r="J14" s="110"/>
    </row>
    <row r="15" spans="1:10" x14ac:dyDescent="0.2">
      <c r="A15" s="1025" t="s">
        <v>67</v>
      </c>
      <c r="B15" s="1026"/>
      <c r="C15" s="75"/>
      <c r="D15" s="69"/>
      <c r="E15" s="69"/>
      <c r="F15" s="69"/>
      <c r="G15" s="69"/>
      <c r="H15" s="69"/>
      <c r="I15" s="110"/>
      <c r="J15" s="110"/>
    </row>
    <row r="16" spans="1:10" x14ac:dyDescent="0.2">
      <c r="A16" s="1019" t="s">
        <v>68</v>
      </c>
      <c r="B16" s="1020"/>
      <c r="C16" s="76"/>
      <c r="D16" s="77"/>
      <c r="E16" s="77"/>
      <c r="F16" s="77"/>
      <c r="G16" s="77"/>
      <c r="H16" s="77"/>
      <c r="I16" s="110"/>
      <c r="J16" s="110"/>
    </row>
    <row r="17" spans="1:10" x14ac:dyDescent="0.2">
      <c r="A17" s="101"/>
      <c r="B17" s="101"/>
      <c r="C17" s="143">
        <f t="shared" ref="C17:H17" si="2">IF((C13+C14)=0,0,IF(AND((C13-C15)&gt;=0,(C14-C16)&gt;=0),(C13+C14-C15-C16),IF(AND((C13-C15)&gt;0,(C14-C16)&lt;0),(C13-C15),IF(AND((C13-C15)&lt;0,(C14-C16)&gt;0),(C14-C16),IF((C13-C15)&gt;0,(C13-C15),IF((C13-C15)&lt;0,0))))))</f>
        <v>0</v>
      </c>
      <c r="D17" s="143">
        <f t="shared" si="2"/>
        <v>0</v>
      </c>
      <c r="E17" s="143">
        <f t="shared" si="2"/>
        <v>0</v>
      </c>
      <c r="F17" s="143">
        <f t="shared" si="2"/>
        <v>0</v>
      </c>
      <c r="G17" s="143">
        <f t="shared" si="2"/>
        <v>0</v>
      </c>
      <c r="H17" s="143">
        <f t="shared" si="2"/>
        <v>0</v>
      </c>
      <c r="I17" s="59"/>
      <c r="J17" s="59"/>
    </row>
    <row r="18" spans="1:10" x14ac:dyDescent="0.2">
      <c r="A18" s="1021" t="s">
        <v>516</v>
      </c>
      <c r="B18" s="1022"/>
      <c r="C18" s="328"/>
      <c r="D18" s="328"/>
      <c r="E18" s="328"/>
      <c r="F18" s="328"/>
      <c r="G18" s="328"/>
      <c r="H18" s="328"/>
      <c r="I18" s="110"/>
      <c r="J18" s="110"/>
    </row>
    <row r="19" spans="1:10" x14ac:dyDescent="0.2">
      <c r="A19" s="610"/>
      <c r="B19" s="611" t="s">
        <v>517</v>
      </c>
      <c r="C19" s="612"/>
      <c r="D19" s="612"/>
      <c r="E19" s="612"/>
      <c r="F19" s="612"/>
      <c r="G19" s="612"/>
      <c r="H19" s="612"/>
      <c r="I19" s="110"/>
      <c r="J19" s="110"/>
    </row>
    <row r="20" spans="1:10" x14ac:dyDescent="0.2">
      <c r="A20" s="1023" t="s">
        <v>515</v>
      </c>
      <c r="B20" s="1024"/>
      <c r="C20" s="111"/>
      <c r="D20" s="111"/>
      <c r="E20" s="111"/>
      <c r="F20" s="111"/>
      <c r="G20" s="111"/>
      <c r="H20" s="111"/>
      <c r="I20" s="110"/>
      <c r="J20" s="110"/>
    </row>
    <row r="21" spans="1:10" x14ac:dyDescent="0.2">
      <c r="A21" s="1025" t="s">
        <v>67</v>
      </c>
      <c r="B21" s="1026"/>
      <c r="C21" s="75"/>
      <c r="D21" s="78"/>
      <c r="E21" s="78"/>
      <c r="F21" s="78"/>
      <c r="G21" s="78"/>
      <c r="H21" s="78"/>
      <c r="I21" s="110"/>
      <c r="J21" s="110"/>
    </row>
    <row r="22" spans="1:10" x14ac:dyDescent="0.2">
      <c r="A22" s="1019" t="s">
        <v>68</v>
      </c>
      <c r="B22" s="1020"/>
      <c r="C22" s="79"/>
      <c r="D22" s="74"/>
      <c r="E22" s="74"/>
      <c r="F22" s="74"/>
      <c r="G22" s="74"/>
      <c r="H22" s="74"/>
      <c r="I22" s="110"/>
      <c r="J22" s="110"/>
    </row>
    <row r="23" spans="1:10" s="614" customFormat="1" x14ac:dyDescent="0.2">
      <c r="A23" s="615"/>
      <c r="B23" s="615"/>
      <c r="C23" s="143">
        <f>IF((C18+C19+C20)=0,0,IF(AND((C18+C19-C21)&gt;=0,(C20-C22)&gt;=0),(C18+C19+C20-C21-C22),IF(AND((C18+C19-C21)&gt;0,(C20-C22)&lt;0),(C18+C19-C21),IF(AND((C18+C19-C21)&lt;0,(C20-C22)&gt;0),(C20-C22),IF((C18+C19-C21)&gt;0,(C18+C19-C21),IF((C18+C19-C21)&lt;0,0))))))</f>
        <v>0</v>
      </c>
      <c r="D23" s="143">
        <f t="shared" ref="D23:H23" si="3">IF((D18+D19+D20)=0,0,IF(AND((D18+D19-D21)&gt;=0,(D20-D22)&gt;=0),(D18+D19+D20-D21-D22),IF(AND((D18+D19-D21)&gt;0,(D20-D22)&lt;0),(D18+D19-D21),IF(AND((D18+D19-D21)&lt;0,(D20-D22)&gt;0),(D20-D22),IF((D18+D19-D21)&gt;0,(D18+D19-D21),IF((D18+D19-D21)&lt;0,0))))))</f>
        <v>0</v>
      </c>
      <c r="E23" s="143">
        <f t="shared" si="3"/>
        <v>0</v>
      </c>
      <c r="F23" s="143">
        <f t="shared" si="3"/>
        <v>0</v>
      </c>
      <c r="G23" s="143">
        <f t="shared" si="3"/>
        <v>0</v>
      </c>
      <c r="H23" s="143">
        <f t="shared" si="3"/>
        <v>0</v>
      </c>
      <c r="I23" s="81"/>
      <c r="J23" s="81"/>
    </row>
    <row r="24" spans="1:10" x14ac:dyDescent="0.2">
      <c r="A24" s="1021" t="s">
        <v>71</v>
      </c>
      <c r="B24" s="1022"/>
      <c r="C24" s="69"/>
      <c r="D24" s="69"/>
      <c r="E24" s="69"/>
      <c r="F24" s="69"/>
      <c r="G24" s="69"/>
      <c r="H24" s="69"/>
      <c r="I24" s="110"/>
      <c r="J24" s="110"/>
    </row>
    <row r="25" spans="1:10" x14ac:dyDescent="0.2">
      <c r="A25" s="1023" t="s">
        <v>38</v>
      </c>
      <c r="B25" s="1024"/>
      <c r="C25" s="70"/>
      <c r="D25" s="70"/>
      <c r="E25" s="70"/>
      <c r="F25" s="70"/>
      <c r="G25" s="70"/>
      <c r="H25" s="70"/>
      <c r="I25" s="110"/>
      <c r="J25" s="110"/>
    </row>
    <row r="26" spans="1:10" x14ac:dyDescent="0.2">
      <c r="A26" s="1025" t="s">
        <v>67</v>
      </c>
      <c r="B26" s="1026"/>
      <c r="C26" s="75"/>
      <c r="D26" s="69"/>
      <c r="E26" s="69"/>
      <c r="F26" s="69"/>
      <c r="G26" s="69"/>
      <c r="H26" s="69"/>
      <c r="I26" s="110"/>
      <c r="J26" s="110"/>
    </row>
    <row r="27" spans="1:10" x14ac:dyDescent="0.2">
      <c r="A27" s="1027" t="s">
        <v>68</v>
      </c>
      <c r="B27" s="1028"/>
      <c r="C27" s="79"/>
      <c r="D27" s="74"/>
      <c r="E27" s="74"/>
      <c r="F27" s="74"/>
      <c r="G27" s="74"/>
      <c r="H27" s="74"/>
      <c r="I27" s="110"/>
      <c r="J27" s="110"/>
    </row>
    <row r="28" spans="1:10" x14ac:dyDescent="0.2">
      <c r="A28" s="102"/>
      <c r="B28" s="193"/>
      <c r="C28" s="144">
        <f t="shared" ref="C28:H28" si="4">IF((C24+C25)=0,0,IF(AND((C24-C26)&gt;=0,(C25-C27)&gt;=0),(C24+C25-C26-C27),IF(AND((C24-C26)&gt;0,(C25-C27)&lt;0),(C24-C26),IF(AND((C24-C26)&lt;0,(C25-C27)&gt;0),(C25-C27),IF((C24-C26)&gt;0,(C24-C26),IF((C24-C26)&lt;0,0))))))</f>
        <v>0</v>
      </c>
      <c r="D28" s="144">
        <f t="shared" si="4"/>
        <v>0</v>
      </c>
      <c r="E28" s="144">
        <f t="shared" si="4"/>
        <v>0</v>
      </c>
      <c r="F28" s="144">
        <f t="shared" si="4"/>
        <v>0</v>
      </c>
      <c r="G28" s="144">
        <f t="shared" si="4"/>
        <v>0</v>
      </c>
      <c r="H28" s="144">
        <f t="shared" si="4"/>
        <v>0</v>
      </c>
      <c r="I28" s="2"/>
      <c r="J28" s="2"/>
    </row>
    <row r="29" spans="1:10" s="614" customFormat="1" x14ac:dyDescent="0.2">
      <c r="A29" s="1061"/>
      <c r="B29" s="1061"/>
      <c r="C29" s="617">
        <f>IF(AND(C18&gt;0,AS!C53&gt;0),C18,0)</f>
        <v>0</v>
      </c>
      <c r="D29" s="617">
        <f>IF(AND(D18&gt;0,AS!D53&gt;0),D18,0)</f>
        <v>0</v>
      </c>
      <c r="E29" s="617">
        <f>IF(AND(E18&gt;0,AS!E53&gt;0),E18,0)</f>
        <v>0</v>
      </c>
      <c r="F29" s="617">
        <f>IF(AND(F18&gt;0,AS!F53&gt;0),F18,0)</f>
        <v>0</v>
      </c>
      <c r="G29" s="617">
        <f>IF(AND(G18&gt;0,AS!G53&gt;0),G18,0)</f>
        <v>0</v>
      </c>
      <c r="H29" s="617">
        <f>IF(AND(H18&gt;0,AS!H53&gt;0),H18,0)</f>
        <v>0</v>
      </c>
      <c r="I29" s="84"/>
      <c r="J29" s="613"/>
    </row>
    <row r="30" spans="1:10" x14ac:dyDescent="0.2">
      <c r="A30" s="2"/>
      <c r="B30" s="1029"/>
      <c r="C30" s="1029"/>
      <c r="D30" s="157"/>
      <c r="E30" s="157"/>
      <c r="F30" s="157"/>
      <c r="G30" s="157"/>
      <c r="H30" s="157"/>
      <c r="I30" s="157"/>
      <c r="J30" s="2"/>
    </row>
    <row r="31" spans="1:10" x14ac:dyDescent="0.2">
      <c r="A31" s="2"/>
      <c r="B31" s="1018"/>
      <c r="C31" s="1018"/>
      <c r="D31" s="156"/>
      <c r="E31" s="156"/>
      <c r="F31" s="156"/>
      <c r="G31" s="156"/>
      <c r="H31" s="156"/>
      <c r="I31" s="156"/>
      <c r="J31" s="2"/>
    </row>
    <row r="32" spans="1:10" x14ac:dyDescent="0.2">
      <c r="A32" s="2"/>
      <c r="B32" s="1018"/>
      <c r="C32" s="1018"/>
      <c r="D32" s="156"/>
      <c r="E32" s="156"/>
      <c r="F32" s="156"/>
      <c r="G32" s="156"/>
      <c r="H32" s="156"/>
      <c r="I32" s="156"/>
      <c r="J32" s="2"/>
    </row>
    <row r="33" spans="1:10" x14ac:dyDescent="0.2">
      <c r="A33" s="2"/>
      <c r="B33" s="185"/>
      <c r="C33" s="185"/>
      <c r="D33" s="156"/>
      <c r="E33" s="156"/>
      <c r="F33" s="156"/>
      <c r="G33" s="156"/>
      <c r="H33" s="156"/>
      <c r="I33" s="156"/>
      <c r="J33" s="2"/>
    </row>
    <row r="34" spans="1:10" x14ac:dyDescent="0.2">
      <c r="A34" s="2"/>
      <c r="B34" s="2"/>
      <c r="C34" s="2"/>
      <c r="D34" s="2"/>
      <c r="E34" s="2"/>
      <c r="F34" s="2"/>
      <c r="G34" s="2"/>
      <c r="H34" s="2"/>
      <c r="I34" s="2"/>
      <c r="J34" s="2"/>
    </row>
    <row r="35" spans="1:10" x14ac:dyDescent="0.2">
      <c r="A35" s="2"/>
      <c r="B35" s="2"/>
      <c r="C35" s="2"/>
      <c r="D35" s="2"/>
      <c r="E35" s="2"/>
      <c r="F35" s="2"/>
      <c r="G35" s="2"/>
      <c r="H35" s="2"/>
      <c r="I35" s="2"/>
      <c r="J35" s="2"/>
    </row>
    <row r="36" spans="1:10" x14ac:dyDescent="0.2">
      <c r="A36" s="2"/>
      <c r="B36" s="2"/>
      <c r="C36" s="2"/>
      <c r="D36" s="2"/>
      <c r="E36" s="2"/>
      <c r="F36" s="2"/>
      <c r="G36" s="2"/>
      <c r="H36" s="2"/>
      <c r="I36" s="2"/>
      <c r="J36" s="2"/>
    </row>
    <row r="37" spans="1:10" ht="15" x14ac:dyDescent="0.25">
      <c r="A37" s="1008" t="s">
        <v>29</v>
      </c>
      <c r="B37" s="1009"/>
      <c r="C37" s="66" t="e">
        <f>EDATE(BG!D2,-6)</f>
        <v>#NUM!</v>
      </c>
      <c r="D37" s="66" t="e">
        <f>EDATE(BG!D2,-5)</f>
        <v>#NUM!</v>
      </c>
      <c r="E37" s="66" t="e">
        <f>EDATE(BG!D2,-4)</f>
        <v>#NUM!</v>
      </c>
      <c r="F37" s="66" t="e">
        <f>EDATE(BG!D2,-3)</f>
        <v>#NUM!</v>
      </c>
      <c r="G37" s="66" t="e">
        <f>EDATE(BG!D2,-2)</f>
        <v>#NUM!</v>
      </c>
      <c r="H37" s="66" t="e">
        <f>EDATE(BG!D2,-1)</f>
        <v>#NUM!</v>
      </c>
      <c r="I37" s="169"/>
      <c r="J37" s="169"/>
    </row>
    <row r="38" spans="1:10" x14ac:dyDescent="0.2">
      <c r="A38" s="1010" t="s">
        <v>73</v>
      </c>
      <c r="B38" s="1011"/>
      <c r="C38" s="80"/>
      <c r="D38" s="80"/>
      <c r="E38" s="80"/>
      <c r="F38" s="80"/>
      <c r="G38" s="80"/>
      <c r="H38" s="80"/>
      <c r="I38" s="110"/>
      <c r="J38" s="110"/>
    </row>
    <row r="39" spans="1:10" x14ac:dyDescent="0.2">
      <c r="A39" s="1002" t="s">
        <v>74</v>
      </c>
      <c r="B39" s="1003"/>
      <c r="C39" s="80"/>
      <c r="D39" s="80"/>
      <c r="E39" s="80"/>
      <c r="F39" s="80"/>
      <c r="G39" s="80"/>
      <c r="H39" s="80"/>
      <c r="I39" s="110"/>
      <c r="J39" s="110"/>
    </row>
    <row r="40" spans="1:10" x14ac:dyDescent="0.2">
      <c r="A40" s="2"/>
      <c r="B40" s="2"/>
      <c r="C40" s="2"/>
      <c r="D40" s="2"/>
      <c r="E40" s="2"/>
      <c r="F40" s="2"/>
      <c r="G40" s="2"/>
      <c r="H40" s="2"/>
      <c r="I40" s="59"/>
      <c r="J40" s="59"/>
    </row>
    <row r="41" spans="1:10" x14ac:dyDescent="0.2">
      <c r="A41" s="1012" t="s">
        <v>252</v>
      </c>
      <c r="B41" s="1013"/>
      <c r="C41" s="194"/>
      <c r="D41" s="194"/>
      <c r="E41" s="194"/>
      <c r="F41" s="194"/>
      <c r="G41" s="194"/>
      <c r="H41" s="201"/>
      <c r="I41" s="110"/>
      <c r="J41" s="110"/>
    </row>
    <row r="42" spans="1:10" x14ac:dyDescent="0.2">
      <c r="A42" s="1014" t="s">
        <v>313</v>
      </c>
      <c r="B42" s="1015"/>
      <c r="C42" s="110"/>
      <c r="D42" s="110"/>
      <c r="E42" s="110"/>
      <c r="F42" s="110"/>
      <c r="G42" s="110"/>
      <c r="H42" s="123"/>
      <c r="I42" s="59"/>
      <c r="J42" s="59"/>
    </row>
    <row r="43" spans="1:10" x14ac:dyDescent="0.2">
      <c r="A43" s="1030" t="s">
        <v>314</v>
      </c>
      <c r="B43" s="1031"/>
      <c r="C43" s="112"/>
      <c r="D43" s="112"/>
      <c r="E43" s="112"/>
      <c r="F43" s="112"/>
      <c r="G43" s="112"/>
      <c r="H43" s="112"/>
      <c r="I43" s="110"/>
      <c r="J43" s="110"/>
    </row>
    <row r="44" spans="1:10" x14ac:dyDescent="0.2">
      <c r="A44" s="1032" t="s">
        <v>315</v>
      </c>
      <c r="B44" s="1033"/>
      <c r="C44" s="113"/>
      <c r="D44" s="113"/>
      <c r="E44" s="113"/>
      <c r="F44" s="113"/>
      <c r="G44" s="113"/>
      <c r="H44" s="113"/>
      <c r="I44" s="110"/>
      <c r="J44" s="110"/>
    </row>
    <row r="45" spans="1:10" x14ac:dyDescent="0.2">
      <c r="A45" s="1034" t="s">
        <v>316</v>
      </c>
      <c r="B45" s="1035"/>
      <c r="C45" s="113"/>
      <c r="D45" s="113"/>
      <c r="E45" s="113"/>
      <c r="F45" s="113"/>
      <c r="G45" s="113"/>
      <c r="H45" s="113"/>
      <c r="I45" s="110"/>
      <c r="J45" s="110"/>
    </row>
    <row r="46" spans="1:10" x14ac:dyDescent="0.2">
      <c r="A46" s="1005" t="s">
        <v>317</v>
      </c>
      <c r="B46" s="1006"/>
      <c r="C46" s="124" t="e">
        <f t="shared" ref="C46:H46" si="5">IF(AND(C96=0,C41&gt;0,C61&gt;17),30,0)</f>
        <v>#NUM!</v>
      </c>
      <c r="D46" s="124" t="e">
        <f t="shared" si="5"/>
        <v>#NUM!</v>
      </c>
      <c r="E46" s="124" t="e">
        <f t="shared" si="5"/>
        <v>#NUM!</v>
      </c>
      <c r="F46" s="124" t="e">
        <f t="shared" si="5"/>
        <v>#NUM!</v>
      </c>
      <c r="G46" s="124" t="e">
        <f t="shared" si="5"/>
        <v>#NUM!</v>
      </c>
      <c r="H46" s="124" t="e">
        <f t="shared" si="5"/>
        <v>#NUM!</v>
      </c>
      <c r="I46" s="59"/>
      <c r="J46" s="59"/>
    </row>
    <row r="47" spans="1:10" x14ac:dyDescent="0.2">
      <c r="A47" s="1007" t="s">
        <v>58</v>
      </c>
      <c r="B47" s="1007"/>
      <c r="C47" s="114"/>
      <c r="D47" s="114"/>
      <c r="E47" s="114"/>
      <c r="F47" s="114"/>
      <c r="G47" s="114"/>
      <c r="H47" s="114"/>
      <c r="I47" s="110"/>
      <c r="J47" s="110"/>
    </row>
    <row r="48" spans="1:10" x14ac:dyDescent="0.2">
      <c r="A48" s="1016" t="s">
        <v>318</v>
      </c>
      <c r="B48" s="1017"/>
      <c r="C48" s="112"/>
      <c r="D48" s="112"/>
      <c r="E48" s="112"/>
      <c r="F48" s="112"/>
      <c r="G48" s="112"/>
      <c r="H48" s="112"/>
      <c r="I48" s="110"/>
      <c r="J48" s="110"/>
    </row>
    <row r="49" spans="1:10" x14ac:dyDescent="0.2">
      <c r="A49" s="999" t="s">
        <v>319</v>
      </c>
      <c r="B49" s="999"/>
      <c r="C49" s="115"/>
      <c r="D49" s="115"/>
      <c r="E49" s="115"/>
      <c r="F49" s="115"/>
      <c r="G49" s="115"/>
      <c r="H49" s="115"/>
      <c r="I49" s="110"/>
      <c r="J49" s="110"/>
    </row>
    <row r="50" spans="1:10" x14ac:dyDescent="0.2">
      <c r="A50" s="999" t="s">
        <v>320</v>
      </c>
      <c r="B50" s="999"/>
      <c r="C50" s="68">
        <f t="shared" ref="C50:H50" si="6">IF(C41=ISBLANK(0),0,IF(C96&gt;0,SUM(C43:C49),IF(C96=0,IF(SUM(C43:C49)&lt;100,100,SUM(C43:C49)))))</f>
        <v>0</v>
      </c>
      <c r="D50" s="68">
        <f t="shared" si="6"/>
        <v>0</v>
      </c>
      <c r="E50" s="68">
        <f t="shared" si="6"/>
        <v>0</v>
      </c>
      <c r="F50" s="68">
        <f t="shared" si="6"/>
        <v>0</v>
      </c>
      <c r="G50" s="68">
        <f t="shared" si="6"/>
        <v>0</v>
      </c>
      <c r="H50" s="68">
        <f t="shared" si="6"/>
        <v>0</v>
      </c>
      <c r="I50" s="110"/>
      <c r="J50" s="110"/>
    </row>
    <row r="51" spans="1:10" x14ac:dyDescent="0.2">
      <c r="A51" s="999" t="s">
        <v>322</v>
      </c>
      <c r="B51" s="999"/>
      <c r="C51" s="68">
        <f t="shared" ref="C51:H51" si="7">IF(C41-C50&lt;0,0,C41-C50)</f>
        <v>0</v>
      </c>
      <c r="D51" s="68">
        <f t="shared" si="7"/>
        <v>0</v>
      </c>
      <c r="E51" s="68">
        <f t="shared" si="7"/>
        <v>0</v>
      </c>
      <c r="F51" s="68">
        <f t="shared" si="7"/>
        <v>0</v>
      </c>
      <c r="G51" s="68">
        <f t="shared" si="7"/>
        <v>0</v>
      </c>
      <c r="H51" s="68">
        <f t="shared" si="7"/>
        <v>0</v>
      </c>
      <c r="I51" s="59"/>
      <c r="J51" s="59"/>
    </row>
    <row r="52" spans="1:10" x14ac:dyDescent="0.2">
      <c r="A52" s="1000" t="s">
        <v>321</v>
      </c>
      <c r="B52" s="1001"/>
      <c r="C52" s="186"/>
      <c r="D52" s="186"/>
      <c r="E52" s="186"/>
      <c r="F52" s="186"/>
      <c r="G52" s="186"/>
      <c r="H52" s="200"/>
      <c r="I52" s="110"/>
      <c r="J52" s="110"/>
    </row>
    <row r="53" spans="1:10" x14ac:dyDescent="0.2">
      <c r="A53" s="1002" t="s">
        <v>68</v>
      </c>
      <c r="B53" s="1003"/>
      <c r="C53" s="80"/>
      <c r="D53" s="80"/>
      <c r="E53" s="80"/>
      <c r="F53" s="80"/>
      <c r="G53" s="80"/>
      <c r="H53" s="80"/>
      <c r="I53" s="110"/>
      <c r="J53" s="110"/>
    </row>
    <row r="54" spans="1:10" x14ac:dyDescent="0.2">
      <c r="A54" s="2"/>
      <c r="B54" s="2"/>
      <c r="C54" s="93">
        <f t="shared" ref="C54:H54" si="8">IF((C52-C53)&lt;0,0,(C52-C53))</f>
        <v>0</v>
      </c>
      <c r="D54" s="93">
        <f t="shared" si="8"/>
        <v>0</v>
      </c>
      <c r="E54" s="93">
        <f t="shared" si="8"/>
        <v>0</v>
      </c>
      <c r="F54" s="93">
        <f t="shared" si="8"/>
        <v>0</v>
      </c>
      <c r="G54" s="93">
        <f t="shared" si="8"/>
        <v>0</v>
      </c>
      <c r="H54" s="93">
        <f t="shared" si="8"/>
        <v>0</v>
      </c>
      <c r="I54" s="59"/>
      <c r="J54" s="59"/>
    </row>
    <row r="55" spans="1:10" x14ac:dyDescent="0.2">
      <c r="A55" s="2"/>
      <c r="B55" s="2"/>
      <c r="C55" s="93">
        <f t="shared" ref="C55:H55" si="9">IF(C38-C39&lt;0,0,C38-C39)</f>
        <v>0</v>
      </c>
      <c r="D55" s="93">
        <f t="shared" si="9"/>
        <v>0</v>
      </c>
      <c r="E55" s="93">
        <f t="shared" si="9"/>
        <v>0</v>
      </c>
      <c r="F55" s="93">
        <f t="shared" si="9"/>
        <v>0</v>
      </c>
      <c r="G55" s="93">
        <f t="shared" si="9"/>
        <v>0</v>
      </c>
      <c r="H55" s="93">
        <f t="shared" si="9"/>
        <v>0</v>
      </c>
      <c r="I55" s="59"/>
      <c r="J55" s="59"/>
    </row>
    <row r="56" spans="1:10" ht="15" x14ac:dyDescent="0.25">
      <c r="A56" s="1004" t="s">
        <v>75</v>
      </c>
      <c r="B56" s="1004"/>
      <c r="C56" s="125" t="s">
        <v>323</v>
      </c>
      <c r="D56" s="122"/>
      <c r="E56" s="122"/>
      <c r="F56" s="122"/>
      <c r="G56" s="122"/>
      <c r="H56" s="122"/>
      <c r="I56" s="59"/>
      <c r="J56" s="59"/>
    </row>
    <row r="57" spans="1:10" x14ac:dyDescent="0.2">
      <c r="A57" s="998" t="s">
        <v>56</v>
      </c>
      <c r="B57" s="998"/>
      <c r="C57" s="72"/>
      <c r="D57" s="72"/>
      <c r="E57" s="72"/>
      <c r="F57" s="72"/>
      <c r="G57" s="72"/>
      <c r="H57" s="72"/>
      <c r="I57" s="110"/>
      <c r="J57" s="110"/>
    </row>
    <row r="58" spans="1:10" x14ac:dyDescent="0.2">
      <c r="A58" s="998" t="s">
        <v>57</v>
      </c>
      <c r="B58" s="998"/>
      <c r="C58" s="72"/>
      <c r="D58" s="72"/>
      <c r="E58" s="72"/>
      <c r="F58" s="72"/>
      <c r="G58" s="72"/>
      <c r="H58" s="72"/>
      <c r="I58" s="110"/>
      <c r="J58" s="110"/>
    </row>
    <row r="59" spans="1:10" x14ac:dyDescent="0.2">
      <c r="A59" s="998" t="s">
        <v>58</v>
      </c>
      <c r="B59" s="998"/>
      <c r="C59" s="72"/>
      <c r="D59" s="72"/>
      <c r="E59" s="72"/>
      <c r="F59" s="72"/>
      <c r="G59" s="72"/>
      <c r="H59" s="72"/>
      <c r="I59" s="110"/>
      <c r="J59" s="110"/>
    </row>
    <row r="60" spans="1:10" x14ac:dyDescent="0.2">
      <c r="A60" s="966" t="s">
        <v>76</v>
      </c>
      <c r="B60" s="966"/>
      <c r="C60" s="105">
        <f>IF(C61&lt;18,0,IF(C46=30,0,IF((C75+C76+H78)&gt;0,0,IF(C96=0,30,IF(C96&gt;0,0)))))</f>
        <v>0</v>
      </c>
      <c r="D60" s="105">
        <f>IF(D61&lt;18,0,IF(D46=30,0,IF((D75+D76+H78)&gt;0,0,IF(D96=0,30,IF(D96&gt;0,0)))))</f>
        <v>0</v>
      </c>
      <c r="E60" s="105">
        <f>IF(E61&lt;18,0,IF(E46=30,0,IF((E75+E76+H78)&gt;0,0,IF(E96=0,30,IF(E96&gt;0,0)))))</f>
        <v>0</v>
      </c>
      <c r="F60" s="105">
        <f>IF(F61&lt;18,0,IF(F46=30,0,IF((F75+F76+H78)&gt;0,0,IF(F96=0,30,IF(F96&gt;0,0)))))</f>
        <v>0</v>
      </c>
      <c r="G60" s="105">
        <f>IF(G61&lt;18,0,IF(G46=30,0,IF((G75+G76+H78)&gt;0,0,IF(G96=0,30,IF(G96&gt;0,0)))))</f>
        <v>0</v>
      </c>
      <c r="H60" s="105">
        <f>IF(H61&lt;18,0,IF(H46=30,0,IF((H75+H76+H78)&gt;0,0,IF(H96=0,30,IF(H96&gt;0,0)))))</f>
        <v>0</v>
      </c>
      <c r="I60" s="2"/>
      <c r="J60" s="2"/>
    </row>
    <row r="61" spans="1:10" x14ac:dyDescent="0.2">
      <c r="A61" s="2"/>
      <c r="B61" s="2"/>
      <c r="C61" s="84">
        <f>IF(BG!$C$26=ISBLANK(0),0,IF(INT((C37-BG!$C$26)/365.25)&lt;0,0,INT((C37-BG!$C$26)/365.25)))</f>
        <v>0</v>
      </c>
      <c r="D61" s="84">
        <f>IF(BG!$C$26=ISBLANK(0),0,IF(INT((D37-BG!$C$26)/365.25)&lt;0,0,INT((D37-BG!$C$26)/365.25)))</f>
        <v>0</v>
      </c>
      <c r="E61" s="84">
        <f>IF(BG!$C$26=ISBLANK(0),0,IF(INT((E37-BG!$C$26)/365.25)&lt;0,0,INT((E37-BG!$C$26)/365.25)))</f>
        <v>0</v>
      </c>
      <c r="F61" s="84">
        <f>IF(BG!$C$26=ISBLANK(0),0,IF(INT((F37-BG!$C$26)/365.25)&lt;0,0,INT((F37-BG!$C$26)/365.25)))</f>
        <v>0</v>
      </c>
      <c r="G61" s="84">
        <f>IF(BG!$C$26=ISBLANK(0),0,IF(INT((G37-BG!$C$26)/365.25)&lt;0,0,INT((G37-BG!$C$26)/365.25)))</f>
        <v>0</v>
      </c>
      <c r="H61" s="84">
        <f>IF(BG!$C$26=ISBLANK(0),0,IF(INT((H37-BG!$C$26)/365.25)&lt;0,0,INT((H37-BG!$C$26)/365.25)))</f>
        <v>0</v>
      </c>
      <c r="I61" s="2"/>
      <c r="J61" s="2"/>
    </row>
    <row r="62" spans="1:10" x14ac:dyDescent="0.2">
      <c r="A62" s="60"/>
      <c r="B62" s="191" t="s">
        <v>77</v>
      </c>
      <c r="C62" s="97">
        <f t="shared" ref="C62:H62" si="10">C7+C12+C17+C23+C28+C51+C54+C55</f>
        <v>0</v>
      </c>
      <c r="D62" s="97">
        <f t="shared" si="10"/>
        <v>0</v>
      </c>
      <c r="E62" s="97">
        <f t="shared" si="10"/>
        <v>0</v>
      </c>
      <c r="F62" s="97">
        <f t="shared" si="10"/>
        <v>0</v>
      </c>
      <c r="G62" s="97">
        <f t="shared" si="10"/>
        <v>0</v>
      </c>
      <c r="H62" s="97">
        <f t="shared" si="10"/>
        <v>0</v>
      </c>
      <c r="I62" s="195" t="s">
        <v>48</v>
      </c>
      <c r="J62" s="2"/>
    </row>
    <row r="63" spans="1:10" x14ac:dyDescent="0.2">
      <c r="A63" s="103"/>
      <c r="B63" s="197" t="s">
        <v>78</v>
      </c>
      <c r="C63" s="106">
        <f t="shared" ref="C63:H63" si="11">SUM(C57:C60)</f>
        <v>0</v>
      </c>
      <c r="D63" s="106">
        <f t="shared" si="11"/>
        <v>0</v>
      </c>
      <c r="E63" s="106">
        <f t="shared" si="11"/>
        <v>0</v>
      </c>
      <c r="F63" s="106">
        <f t="shared" si="11"/>
        <v>0</v>
      </c>
      <c r="G63" s="106">
        <f t="shared" si="11"/>
        <v>0</v>
      </c>
      <c r="H63" s="106">
        <f t="shared" si="11"/>
        <v>0</v>
      </c>
      <c r="I63" s="107"/>
      <c r="J63" s="2"/>
    </row>
    <row r="64" spans="1:10" x14ac:dyDescent="0.2">
      <c r="A64" s="104"/>
      <c r="B64" s="192" t="s">
        <v>79</v>
      </c>
      <c r="C64" s="82">
        <f t="shared" ref="C64:H64" si="12">IF((C62-C63)&lt;0,0,(C62-C63))</f>
        <v>0</v>
      </c>
      <c r="D64" s="82">
        <f t="shared" si="12"/>
        <v>0</v>
      </c>
      <c r="E64" s="82">
        <f t="shared" si="12"/>
        <v>0</v>
      </c>
      <c r="F64" s="82">
        <f t="shared" si="12"/>
        <v>0</v>
      </c>
      <c r="G64" s="82">
        <f t="shared" si="12"/>
        <v>0</v>
      </c>
      <c r="H64" s="82">
        <f t="shared" si="12"/>
        <v>0</v>
      </c>
      <c r="I64" s="94">
        <f>SUM(C64:H64)</f>
        <v>0</v>
      </c>
      <c r="J64" s="2"/>
    </row>
    <row r="65" spans="1:10" x14ac:dyDescent="0.2">
      <c r="A65" s="2"/>
      <c r="B65" s="2"/>
      <c r="C65" s="2"/>
      <c r="D65" s="2"/>
      <c r="E65" s="2"/>
      <c r="F65" s="2"/>
      <c r="G65" s="2"/>
      <c r="H65" s="2"/>
      <c r="I65" s="2"/>
      <c r="J65" s="2"/>
    </row>
    <row r="66" spans="1:10" x14ac:dyDescent="0.2">
      <c r="A66" s="2"/>
      <c r="B66" s="2"/>
      <c r="C66" s="2"/>
      <c r="D66" s="2"/>
      <c r="E66" s="2"/>
      <c r="F66" s="2"/>
      <c r="G66" s="2"/>
      <c r="H66" s="2"/>
      <c r="I66" s="2"/>
      <c r="J66" s="2"/>
    </row>
    <row r="67" spans="1:10" x14ac:dyDescent="0.2">
      <c r="A67" s="2"/>
      <c r="B67" s="2"/>
      <c r="C67" s="2"/>
      <c r="D67" s="2"/>
      <c r="E67" s="2"/>
      <c r="F67" s="2"/>
      <c r="G67" s="2"/>
      <c r="H67" s="2"/>
      <c r="I67" s="2"/>
      <c r="J67" s="2"/>
    </row>
    <row r="68" spans="1:10" x14ac:dyDescent="0.2">
      <c r="A68" s="2"/>
      <c r="B68" s="2"/>
      <c r="C68" s="2"/>
      <c r="D68" s="2"/>
      <c r="E68" s="2"/>
      <c r="F68" s="2"/>
      <c r="G68" s="2"/>
      <c r="H68" s="2"/>
      <c r="I68" s="2"/>
      <c r="J68" s="2"/>
    </row>
    <row r="69" spans="1:10" x14ac:dyDescent="0.2">
      <c r="A69" s="2"/>
      <c r="B69" s="2"/>
      <c r="C69" s="2"/>
      <c r="D69" s="2"/>
      <c r="E69" s="2"/>
      <c r="F69" s="2"/>
      <c r="G69" s="2"/>
      <c r="H69" s="2"/>
      <c r="I69" s="2"/>
      <c r="J69" s="2"/>
    </row>
    <row r="70" spans="1:10" x14ac:dyDescent="0.2">
      <c r="A70" s="2"/>
      <c r="B70" s="2"/>
      <c r="C70" s="2"/>
      <c r="D70" s="2"/>
      <c r="E70" s="2"/>
      <c r="F70" s="2"/>
      <c r="G70" s="2"/>
      <c r="H70" s="2"/>
      <c r="I70" s="2"/>
      <c r="J70" s="2"/>
    </row>
    <row r="71" spans="1:10" x14ac:dyDescent="0.2">
      <c r="A71" s="2"/>
      <c r="B71" s="2"/>
      <c r="C71" s="2"/>
      <c r="D71" s="2"/>
      <c r="E71" s="2"/>
      <c r="F71" s="2"/>
      <c r="G71" s="2"/>
      <c r="H71" s="2"/>
      <c r="I71" s="2"/>
      <c r="J71" s="2"/>
    </row>
    <row r="72" spans="1:10" ht="15" x14ac:dyDescent="0.25">
      <c r="A72" s="65"/>
      <c r="B72" s="2"/>
      <c r="C72" s="952" t="s">
        <v>46</v>
      </c>
      <c r="D72" s="952"/>
      <c r="E72" s="952"/>
      <c r="F72" s="952"/>
      <c r="G72" s="952"/>
      <c r="H72" s="952"/>
      <c r="I72" s="2"/>
      <c r="J72" s="2"/>
    </row>
    <row r="73" spans="1:10" ht="15" x14ac:dyDescent="0.25">
      <c r="A73" s="990" t="s">
        <v>29</v>
      </c>
      <c r="B73" s="990"/>
      <c r="C73" s="66" t="e">
        <f>EDATE(BG!D2,-6)</f>
        <v>#NUM!</v>
      </c>
      <c r="D73" s="66" t="e">
        <f>EDATE(BG!D2,-5)</f>
        <v>#NUM!</v>
      </c>
      <c r="E73" s="66" t="e">
        <f>EDATE(BG!D2,-4)</f>
        <v>#NUM!</v>
      </c>
      <c r="F73" s="66" t="e">
        <f>EDATE(BG!D2,-3)</f>
        <v>#NUM!</v>
      </c>
      <c r="G73" s="66" t="e">
        <f>EDATE(BG!D2,-2)</f>
        <v>#NUM!</v>
      </c>
      <c r="H73" s="66" t="e">
        <f>EDATE(BG!D2,-1)</f>
        <v>#NUM!</v>
      </c>
      <c r="I73" s="196"/>
      <c r="J73" s="169"/>
    </row>
    <row r="74" spans="1:10" x14ac:dyDescent="0.2">
      <c r="A74" s="996" t="s">
        <v>596</v>
      </c>
      <c r="B74" s="997"/>
      <c r="C74" s="116" t="s">
        <v>185</v>
      </c>
      <c r="D74" s="116" t="s">
        <v>185</v>
      </c>
      <c r="E74" s="116" t="s">
        <v>185</v>
      </c>
      <c r="F74" s="116" t="s">
        <v>185</v>
      </c>
      <c r="G74" s="116" t="s">
        <v>185</v>
      </c>
      <c r="H74" s="116" t="s">
        <v>185</v>
      </c>
      <c r="I74" s="171"/>
      <c r="J74" s="185" t="str">
        <f>IF(SUM(C77:H77)&gt;0,"bitte hier"," ")</f>
        <v xml:space="preserve"> </v>
      </c>
    </row>
    <row r="75" spans="1:10" ht="14.25" customHeight="1" x14ac:dyDescent="0.2">
      <c r="A75" s="991" t="s">
        <v>47</v>
      </c>
      <c r="B75" s="991"/>
      <c r="C75" s="62"/>
      <c r="D75" s="62"/>
      <c r="E75" s="62"/>
      <c r="F75" s="62"/>
      <c r="G75" s="62"/>
      <c r="H75" s="62"/>
      <c r="I75" s="172"/>
      <c r="J75" s="183" t="str">
        <f>IF(SUM(C77:H77)&gt;0,"eintragen"," ")</f>
        <v xml:space="preserve"> </v>
      </c>
    </row>
    <row r="76" spans="1:10" x14ac:dyDescent="0.2">
      <c r="A76" s="992" t="s">
        <v>38</v>
      </c>
      <c r="B76" s="992"/>
      <c r="C76" s="63"/>
      <c r="D76" s="63"/>
      <c r="E76" s="63"/>
      <c r="F76" s="63"/>
      <c r="G76" s="63"/>
      <c r="H76" s="63"/>
      <c r="I76" s="180" t="str">
        <f>IF(SUM(C77:H77)&gt;0,"Beginn d."," ")</f>
        <v xml:space="preserve"> </v>
      </c>
      <c r="J76" s="1062"/>
    </row>
    <row r="77" spans="1:10" ht="14.25" customHeight="1" x14ac:dyDescent="0.2">
      <c r="A77" s="995" t="s">
        <v>242</v>
      </c>
      <c r="B77" s="995"/>
      <c r="C77" s="117"/>
      <c r="D77" s="117"/>
      <c r="E77" s="117"/>
      <c r="F77" s="117"/>
      <c r="G77" s="117"/>
      <c r="H77" s="117"/>
      <c r="I77" s="181" t="str">
        <f>IF(SUM(C77:H77)&gt;0,"Selbständigkeit:"," ")</f>
        <v xml:space="preserve"> </v>
      </c>
      <c r="J77" s="1063"/>
    </row>
    <row r="78" spans="1:10" x14ac:dyDescent="0.2">
      <c r="A78" s="2"/>
      <c r="B78" s="2"/>
      <c r="C78" s="133"/>
      <c r="D78" s="133"/>
      <c r="E78" s="142" t="s">
        <v>48</v>
      </c>
      <c r="F78" s="83">
        <f>SUM(C77:H77)</f>
        <v>0</v>
      </c>
      <c r="G78" s="81" t="s">
        <v>49</v>
      </c>
      <c r="H78" s="83" t="e">
        <f>ROUND((F78/J81),2)</f>
        <v>#NUM!</v>
      </c>
      <c r="I78" s="182" t="str">
        <f>IF(SUM(C77:H77)&gt;0,"Ende d."," ")</f>
        <v xml:space="preserve"> </v>
      </c>
      <c r="J78" s="970"/>
    </row>
    <row r="79" spans="1:10" x14ac:dyDescent="0.2">
      <c r="A79" s="972" t="s">
        <v>50</v>
      </c>
      <c r="B79" s="973"/>
      <c r="C79" s="69"/>
      <c r="D79" s="69"/>
      <c r="E79" s="69"/>
      <c r="F79" s="69"/>
      <c r="G79" s="69"/>
      <c r="H79" s="69"/>
      <c r="I79" s="181" t="str">
        <f>IF(SUM(C77:H77)&gt;0,"Selbständigkeit:"," ")</f>
        <v xml:space="preserve"> </v>
      </c>
      <c r="J79" s="971"/>
    </row>
    <row r="80" spans="1:10" x14ac:dyDescent="0.2">
      <c r="A80" s="976" t="s">
        <v>51</v>
      </c>
      <c r="B80" s="977"/>
      <c r="C80" s="70"/>
      <c r="D80" s="70"/>
      <c r="E80" s="70"/>
      <c r="F80" s="70"/>
      <c r="G80" s="70"/>
      <c r="H80" s="70"/>
      <c r="I80" s="978" t="str">
        <f>IF(SUM(C77:H77)&gt;0,"Format: Monat Jahr"," ")</f>
        <v xml:space="preserve"> </v>
      </c>
      <c r="J80" s="979"/>
    </row>
    <row r="81" spans="1:10" x14ac:dyDescent="0.2">
      <c r="A81" s="1064" t="s">
        <v>52</v>
      </c>
      <c r="B81" s="1064"/>
      <c r="C81" s="118"/>
      <c r="D81" s="118"/>
      <c r="E81" s="118"/>
      <c r="F81" s="118"/>
      <c r="G81" s="118"/>
      <c r="H81" s="118"/>
      <c r="I81" s="198" t="e">
        <f>IF(J76&lt;MEG!C6,6,DATEDIF(J76,MEG!E6,"m")+1)</f>
        <v>#NUM!</v>
      </c>
      <c r="J81" s="199" t="e">
        <f>IF(J78=ISBLANK(0),I81,IF(J76=ISBLANK(0),I82,DATEDIF(I84,J84,"m")+1))</f>
        <v>#NUM!</v>
      </c>
    </row>
    <row r="82" spans="1:10" x14ac:dyDescent="0.2">
      <c r="A82" s="981" t="s">
        <v>54</v>
      </c>
      <c r="B82" s="981"/>
      <c r="C82" s="119"/>
      <c r="D82" s="119"/>
      <c r="E82" s="119"/>
      <c r="F82" s="119"/>
      <c r="G82" s="119"/>
      <c r="H82" s="119"/>
      <c r="I82" s="198" t="e">
        <f>IF(J78&lt;MEG!C6,6,DATEDIF(MEG!C6,J78,"m")+1)</f>
        <v>#NUM!</v>
      </c>
      <c r="J82" s="199"/>
    </row>
    <row r="83" spans="1:10" x14ac:dyDescent="0.2">
      <c r="A83" s="1065"/>
      <c r="B83" s="1065"/>
      <c r="C83" s="126" t="s">
        <v>48</v>
      </c>
      <c r="D83" s="83">
        <f>SUM(C81:H82)</f>
        <v>0</v>
      </c>
      <c r="E83" s="81" t="s">
        <v>49</v>
      </c>
      <c r="F83" s="83" t="e">
        <f>ROUND((D83/J81),2)</f>
        <v>#NUM!</v>
      </c>
      <c r="G83" s="90" t="s">
        <v>53</v>
      </c>
      <c r="H83" s="91" t="e">
        <f>IF((H78-F83)&lt;0,0,(H78-F83))</f>
        <v>#NUM!</v>
      </c>
      <c r="I83" s="81"/>
      <c r="J83" s="81"/>
    </row>
    <row r="84" spans="1:10" x14ac:dyDescent="0.2">
      <c r="A84" s="2"/>
      <c r="B84" s="169"/>
      <c r="C84" s="87"/>
      <c r="D84" s="87"/>
      <c r="E84" s="87"/>
      <c r="F84" s="87"/>
      <c r="G84" s="87"/>
      <c r="H84" s="88"/>
      <c r="I84" s="179" t="e">
        <f>IF(J76&lt;MEG!C6,MEG!C6,J76)</f>
        <v>#NUM!</v>
      </c>
      <c r="J84" s="179" t="e">
        <f>IF(J78&gt;MEG!E6,MEG!E6,J78)</f>
        <v>#NUM!</v>
      </c>
    </row>
    <row r="85" spans="1:10" x14ac:dyDescent="0.2">
      <c r="A85" s="1064" t="s">
        <v>54</v>
      </c>
      <c r="B85" s="1064"/>
      <c r="C85" s="89">
        <f t="shared" ref="C85:H85" si="13">SUM(C88,(C86*ROUND(C87,0)*0.2))</f>
        <v>0</v>
      </c>
      <c r="D85" s="89">
        <f t="shared" si="13"/>
        <v>0</v>
      </c>
      <c r="E85" s="89">
        <f t="shared" si="13"/>
        <v>0</v>
      </c>
      <c r="F85" s="89">
        <f t="shared" si="13"/>
        <v>0</v>
      </c>
      <c r="G85" s="89">
        <f t="shared" si="13"/>
        <v>0</v>
      </c>
      <c r="H85" s="89">
        <f t="shared" si="13"/>
        <v>0</v>
      </c>
      <c r="I85" s="203" t="e">
        <f>I84</f>
        <v>#NUM!</v>
      </c>
      <c r="J85" s="179" t="e">
        <f>IF(J78=ISBLANK(0),H73+1,J78)</f>
        <v>#NUM!</v>
      </c>
    </row>
    <row r="86" spans="1:10" x14ac:dyDescent="0.2">
      <c r="A86" s="983" t="s">
        <v>234</v>
      </c>
      <c r="B86" s="984"/>
      <c r="C86" s="120"/>
      <c r="D86" s="120"/>
      <c r="E86" s="120"/>
      <c r="F86" s="120"/>
      <c r="G86" s="120"/>
      <c r="H86" s="120"/>
      <c r="I86" s="202" t="e">
        <f>IF(I84&gt;C73,0,IF(J85&lt;C73,0,H83))</f>
        <v>#NUM!</v>
      </c>
      <c r="J86" s="81"/>
    </row>
    <row r="87" spans="1:10" x14ac:dyDescent="0.2">
      <c r="A87" s="983" t="s">
        <v>235</v>
      </c>
      <c r="B87" s="984"/>
      <c r="C87" s="120"/>
      <c r="D87" s="120"/>
      <c r="E87" s="120"/>
      <c r="F87" s="120"/>
      <c r="G87" s="120"/>
      <c r="H87" s="120"/>
      <c r="I87" s="202" t="e">
        <f>IF(I84&gt;D73,0,IF(J85&lt;D73,0,H83))</f>
        <v>#NUM!</v>
      </c>
      <c r="J87" s="81"/>
    </row>
    <row r="88" spans="1:10" x14ac:dyDescent="0.2">
      <c r="A88" s="985" t="s">
        <v>237</v>
      </c>
      <c r="B88" s="986"/>
      <c r="C88" s="119"/>
      <c r="D88" s="119"/>
      <c r="E88" s="119"/>
      <c r="F88" s="119"/>
      <c r="G88" s="119"/>
      <c r="H88" s="119"/>
      <c r="I88" s="202" t="e">
        <f>IF(I84&gt;E73,0,IF(J85&lt;E73,0,H83))</f>
        <v>#NUM!</v>
      </c>
      <c r="J88" s="81"/>
    </row>
    <row r="89" spans="1:10" x14ac:dyDescent="0.2">
      <c r="A89" s="1066" t="s">
        <v>55</v>
      </c>
      <c r="B89" s="1066"/>
      <c r="C89" s="92">
        <f t="shared" ref="C89:H89" si="14">C90*C91</f>
        <v>0</v>
      </c>
      <c r="D89" s="92">
        <f t="shared" si="14"/>
        <v>0</v>
      </c>
      <c r="E89" s="92">
        <f t="shared" si="14"/>
        <v>0</v>
      </c>
      <c r="F89" s="92">
        <f t="shared" si="14"/>
        <v>0</v>
      </c>
      <c r="G89" s="92">
        <f t="shared" si="14"/>
        <v>0</v>
      </c>
      <c r="H89" s="92">
        <f t="shared" si="14"/>
        <v>0</v>
      </c>
      <c r="I89" s="202" t="e">
        <f>IF(I84&gt;F73,0,IF(J85&lt;F73,0,H83))</f>
        <v>#NUM!</v>
      </c>
      <c r="J89" s="83"/>
    </row>
    <row r="90" spans="1:10" x14ac:dyDescent="0.2">
      <c r="A90" s="988" t="s">
        <v>238</v>
      </c>
      <c r="B90" s="989"/>
      <c r="C90" s="120"/>
      <c r="D90" s="120"/>
      <c r="E90" s="120"/>
      <c r="F90" s="120"/>
      <c r="G90" s="120"/>
      <c r="H90" s="120"/>
      <c r="I90" s="202" t="e">
        <f>IF(I84&gt;G73,0,IF(J85&lt;G73,0,H83))</f>
        <v>#NUM!</v>
      </c>
      <c r="J90" s="81"/>
    </row>
    <row r="91" spans="1:10" x14ac:dyDescent="0.2">
      <c r="A91" s="974" t="s">
        <v>239</v>
      </c>
      <c r="B91" s="975"/>
      <c r="C91" s="121"/>
      <c r="D91" s="121"/>
      <c r="E91" s="121"/>
      <c r="F91" s="121"/>
      <c r="G91" s="121"/>
      <c r="H91" s="121"/>
      <c r="I91" s="202" t="e">
        <f>IF(I84&gt;H73,0,IF(J85&lt;H73,0,H83))</f>
        <v>#NUM!</v>
      </c>
      <c r="J91" s="81"/>
    </row>
    <row r="92" spans="1:10" x14ac:dyDescent="0.2">
      <c r="A92" s="1067" t="s">
        <v>236</v>
      </c>
      <c r="B92" s="1068"/>
      <c r="C92" s="71"/>
      <c r="D92" s="71"/>
      <c r="E92" s="71"/>
      <c r="F92" s="71"/>
      <c r="G92" s="71"/>
      <c r="H92" s="71"/>
      <c r="I92" s="172"/>
      <c r="J92" s="95"/>
    </row>
    <row r="93" spans="1:10" x14ac:dyDescent="0.2">
      <c r="A93" s="998" t="s">
        <v>56</v>
      </c>
      <c r="B93" s="998"/>
      <c r="C93" s="71"/>
      <c r="D93" s="71"/>
      <c r="E93" s="71"/>
      <c r="F93" s="71"/>
      <c r="G93" s="71"/>
      <c r="H93" s="71"/>
      <c r="I93" s="172"/>
      <c r="J93" s="95"/>
    </row>
    <row r="94" spans="1:10" x14ac:dyDescent="0.2">
      <c r="A94" s="998" t="s">
        <v>57</v>
      </c>
      <c r="B94" s="998"/>
      <c r="C94" s="71"/>
      <c r="D94" s="71"/>
      <c r="E94" s="71"/>
      <c r="F94" s="71"/>
      <c r="G94" s="71"/>
      <c r="H94" s="71"/>
      <c r="I94" s="172"/>
      <c r="J94" s="95"/>
    </row>
    <row r="95" spans="1:10" x14ac:dyDescent="0.2">
      <c r="A95" s="998" t="s">
        <v>58</v>
      </c>
      <c r="B95" s="998"/>
      <c r="C95" s="72"/>
      <c r="D95" s="72"/>
      <c r="E95" s="72"/>
      <c r="F95" s="72"/>
      <c r="G95" s="72"/>
      <c r="H95" s="72"/>
      <c r="I95" s="172"/>
      <c r="J95" s="95"/>
    </row>
    <row r="96" spans="1:10" x14ac:dyDescent="0.2">
      <c r="A96" s="2"/>
      <c r="B96" s="84"/>
      <c r="C96" s="93" t="e">
        <f>C75+I86</f>
        <v>#NUM!</v>
      </c>
      <c r="D96" s="93" t="e">
        <f>D75+I87</f>
        <v>#NUM!</v>
      </c>
      <c r="E96" s="93" t="e">
        <f>E75+I88</f>
        <v>#NUM!</v>
      </c>
      <c r="F96" s="93" t="e">
        <f>F75+I89</f>
        <v>#NUM!</v>
      </c>
      <c r="G96" s="93" t="e">
        <f>G75+I90</f>
        <v>#NUM!</v>
      </c>
      <c r="H96" s="93" t="e">
        <f>H75+I91</f>
        <v>#NUM!</v>
      </c>
      <c r="I96" s="2"/>
      <c r="J96" s="2"/>
    </row>
    <row r="97" spans="1:10" x14ac:dyDescent="0.2">
      <c r="A97" s="998" t="s">
        <v>59</v>
      </c>
      <c r="B97" s="998"/>
      <c r="C97" s="68" t="e">
        <f>IF(C74="ja",Grundfreibeträge!G39,Grundfreibeträge!F39)</f>
        <v>#NUM!</v>
      </c>
      <c r="D97" s="68" t="e">
        <f>IF(D74="ja",Grundfreibeträge!G40,Grundfreibeträge!F40)</f>
        <v>#NUM!</v>
      </c>
      <c r="E97" s="68" t="e">
        <f>IF(E74="ja",Grundfreibeträge!G41,Grundfreibeträge!F41)</f>
        <v>#NUM!</v>
      </c>
      <c r="F97" s="68" t="e">
        <f>IF(F74="ja",Grundfreibeträge!G42,Grundfreibeträge!F42)</f>
        <v>#NUM!</v>
      </c>
      <c r="G97" s="68" t="e">
        <f>IF(G74="ja",Grundfreibeträge!G43,Grundfreibeträge!F43)</f>
        <v>#NUM!</v>
      </c>
      <c r="H97" s="68" t="e">
        <f>IF(H74="ja",Grundfreibeträge!G44,Grundfreibeträge!F44)</f>
        <v>#NUM!</v>
      </c>
      <c r="I97" s="2"/>
      <c r="J97" s="2"/>
    </row>
    <row r="98" spans="1:10" x14ac:dyDescent="0.2">
      <c r="A98" s="1067" t="s">
        <v>597</v>
      </c>
      <c r="B98" s="1068"/>
      <c r="C98" s="68" t="e">
        <f>MAX((MIN(C96,520)-C97)*0.2,0)</f>
        <v>#NUM!</v>
      </c>
      <c r="D98" s="68" t="e">
        <f t="shared" ref="D98:H98" si="15">MAX((MIN(D96,520)-D97)*0.2,0)</f>
        <v>#NUM!</v>
      </c>
      <c r="E98" s="68" t="e">
        <f t="shared" si="15"/>
        <v>#NUM!</v>
      </c>
      <c r="F98" s="68" t="e">
        <f t="shared" si="15"/>
        <v>#NUM!</v>
      </c>
      <c r="G98" s="68" t="e">
        <f t="shared" si="15"/>
        <v>#NUM!</v>
      </c>
      <c r="H98" s="68" t="e">
        <f t="shared" si="15"/>
        <v>#NUM!</v>
      </c>
      <c r="I98" s="2"/>
      <c r="J98" s="2"/>
    </row>
    <row r="99" spans="1:10" x14ac:dyDescent="0.2">
      <c r="A99" s="998" t="s">
        <v>60</v>
      </c>
      <c r="B99" s="998"/>
      <c r="C99" s="68" t="e">
        <f>MAX(MIN(C96-520,480)*0.3,0)</f>
        <v>#NUM!</v>
      </c>
      <c r="D99" s="68" t="e">
        <f t="shared" ref="D99:H99" si="16">MAX(MIN(D96-520,480)*0.3,0)</f>
        <v>#NUM!</v>
      </c>
      <c r="E99" s="68" t="e">
        <f t="shared" si="16"/>
        <v>#NUM!</v>
      </c>
      <c r="F99" s="68" t="e">
        <f t="shared" si="16"/>
        <v>#NUM!</v>
      </c>
      <c r="G99" s="68" t="e">
        <f t="shared" si="16"/>
        <v>#NUM!</v>
      </c>
      <c r="H99" s="68" t="e">
        <f t="shared" si="16"/>
        <v>#NUM!</v>
      </c>
      <c r="I99" s="2"/>
      <c r="J99" s="2"/>
    </row>
    <row r="100" spans="1:10" x14ac:dyDescent="0.2">
      <c r="A100" s="998" t="s">
        <v>61</v>
      </c>
      <c r="B100" s="998"/>
      <c r="C100" s="68" t="e">
        <f>IF(Grundfreibeträge!Q6="Kind ü18",Grundfreibeträge!H39,IF(C96&lt;1000,0,IF(C96&gt;=1500,50,ROUND((C96-1000)*10%,2))))</f>
        <v>#NUM!</v>
      </c>
      <c r="D100" s="68" t="e">
        <f>IF(Grundfreibeträge!Q6="Kind ü18",Grundfreibeträge!H40,IF(D96&lt;1000,0,IF(D96&gt;=1500,50,ROUND((D96-1000)*10%,2))))</f>
        <v>#NUM!</v>
      </c>
      <c r="E100" s="68" t="e">
        <f>IF(Grundfreibeträge!Q6="Kind ü18",Grundfreibeträge!H41,IF(E96&lt;1000,0,IF(E96&gt;=1500,50,ROUND((E96-1000)*10%,2))))</f>
        <v>#NUM!</v>
      </c>
      <c r="F100" s="68" t="e">
        <f>IF(Grundfreibeträge!Q6="Kind ü18",Grundfreibeträge!H42,IF(F96&lt;1000,0,IF(F96&gt;=1500,50,ROUND((F96-1000)*10%,2))))</f>
        <v>#NUM!</v>
      </c>
      <c r="G100" s="68" t="e">
        <f>IF(Grundfreibeträge!Q6="Kind ü18",Grundfreibeträge!H43,IF(G96&lt;1000,0,IF(G96&gt;=1500,50,ROUND((G96-1000)*10%,2))))</f>
        <v>#NUM!</v>
      </c>
      <c r="H100" s="68" t="e">
        <f>IF(Grundfreibeträge!Q6="Kind ü18",Grundfreibeträge!H44,IF(H96&lt;1000,0,IF(H96&gt;=1500,50,ROUND((H96-1000)*10%,2))))</f>
        <v>#NUM!</v>
      </c>
      <c r="I100" s="184" t="s">
        <v>48</v>
      </c>
      <c r="J100" s="2"/>
    </row>
    <row r="101" spans="1:10" x14ac:dyDescent="0.2">
      <c r="A101" s="966" t="s">
        <v>62</v>
      </c>
      <c r="B101" s="966"/>
      <c r="C101" s="94" t="e">
        <f>IF(C96=0,0,MAX(C96-C79-C97-C98-C99-C100,0))</f>
        <v>#NUM!</v>
      </c>
      <c r="D101" s="94" t="e">
        <f t="shared" ref="D101:H101" si="17">IF(D96=0,0,MAX(D96-D79-D97-D98-D99-D100,0))</f>
        <v>#NUM!</v>
      </c>
      <c r="E101" s="94" t="e">
        <f t="shared" si="17"/>
        <v>#NUM!</v>
      </c>
      <c r="F101" s="94" t="e">
        <f t="shared" si="17"/>
        <v>#NUM!</v>
      </c>
      <c r="G101" s="94" t="e">
        <f t="shared" si="17"/>
        <v>#NUM!</v>
      </c>
      <c r="H101" s="94" t="e">
        <f t="shared" si="17"/>
        <v>#NUM!</v>
      </c>
      <c r="I101" s="94" t="e">
        <f>SUM(C101:H101)</f>
        <v>#NUM!</v>
      </c>
      <c r="J101" s="2"/>
    </row>
    <row r="102" spans="1:10" x14ac:dyDescent="0.2">
      <c r="A102" s="85"/>
      <c r="B102" s="86"/>
      <c r="C102" s="83" t="e">
        <f>C75+C76+I86</f>
        <v>#NUM!</v>
      </c>
      <c r="D102" s="83" t="e">
        <f>D75+D76+I87</f>
        <v>#NUM!</v>
      </c>
      <c r="E102" s="83" t="e">
        <f>E75+E76+I88</f>
        <v>#NUM!</v>
      </c>
      <c r="F102" s="83" t="e">
        <f>F75+F76+I89</f>
        <v>#NUM!</v>
      </c>
      <c r="G102" s="83" t="e">
        <f>G75+G76+I90</f>
        <v>#NUM!</v>
      </c>
      <c r="H102" s="83" t="e">
        <f>H75+H76+I91</f>
        <v>#NUM!</v>
      </c>
      <c r="I102" s="95"/>
      <c r="J102" s="2"/>
    </row>
    <row r="103" spans="1:10" ht="15" x14ac:dyDescent="0.25">
      <c r="A103" s="2"/>
      <c r="B103" s="2"/>
      <c r="C103" s="83" t="e">
        <f t="shared" ref="C103:H103" si="18">IF(C102=0,0,IF(C102&lt;=100,0,IF(C102&lt;=1000,(C102-100)*20%,IF(C102&gt;1000,180))))</f>
        <v>#NUM!</v>
      </c>
      <c r="D103" s="83" t="e">
        <f t="shared" si="18"/>
        <v>#NUM!</v>
      </c>
      <c r="E103" s="83" t="e">
        <f t="shared" si="18"/>
        <v>#NUM!</v>
      </c>
      <c r="F103" s="83" t="e">
        <f t="shared" si="18"/>
        <v>#NUM!</v>
      </c>
      <c r="G103" s="83" t="e">
        <f t="shared" si="18"/>
        <v>#NUM!</v>
      </c>
      <c r="H103" s="83" t="e">
        <f t="shared" si="18"/>
        <v>#NUM!</v>
      </c>
      <c r="I103" s="96"/>
      <c r="J103" s="2"/>
    </row>
    <row r="104" spans="1:10" ht="15" x14ac:dyDescent="0.25">
      <c r="A104" s="1069" t="s">
        <v>63</v>
      </c>
      <c r="B104" s="1069"/>
      <c r="C104" s="97" t="e">
        <f t="shared" ref="C104:H104" si="19">IF(C102&lt;1000,0,IF(C102&gt;=1500,50,ROUND((C102-1000)*10%,2)))</f>
        <v>#NUM!</v>
      </c>
      <c r="D104" s="97" t="e">
        <f t="shared" si="19"/>
        <v>#NUM!</v>
      </c>
      <c r="E104" s="97" t="e">
        <f t="shared" si="19"/>
        <v>#NUM!</v>
      </c>
      <c r="F104" s="97" t="e">
        <f t="shared" si="19"/>
        <v>#NUM!</v>
      </c>
      <c r="G104" s="97" t="e">
        <f t="shared" si="19"/>
        <v>#NUM!</v>
      </c>
      <c r="H104" s="97" t="e">
        <f t="shared" si="19"/>
        <v>#NUM!</v>
      </c>
      <c r="I104" s="96"/>
      <c r="J104" s="2"/>
    </row>
    <row r="105" spans="1:10" x14ac:dyDescent="0.2">
      <c r="A105" s="968" t="s">
        <v>64</v>
      </c>
      <c r="B105" s="968"/>
      <c r="C105" s="98">
        <f t="shared" ref="C105:H105" si="20">IF(C76=0,0,(C103+C104)-(C99+C100))</f>
        <v>0</v>
      </c>
      <c r="D105" s="98">
        <f t="shared" si="20"/>
        <v>0</v>
      </c>
      <c r="E105" s="98">
        <f t="shared" si="20"/>
        <v>0</v>
      </c>
      <c r="F105" s="98">
        <f t="shared" si="20"/>
        <v>0</v>
      </c>
      <c r="G105" s="98">
        <f t="shared" si="20"/>
        <v>0</v>
      </c>
      <c r="H105" s="98">
        <f t="shared" si="20"/>
        <v>0</v>
      </c>
      <c r="I105" s="99" t="s">
        <v>48</v>
      </c>
      <c r="J105" s="2"/>
    </row>
    <row r="106" spans="1:10" x14ac:dyDescent="0.2">
      <c r="A106" s="969" t="s">
        <v>65</v>
      </c>
      <c r="B106" s="969"/>
      <c r="C106" s="94">
        <f t="shared" ref="C106:H106" si="21">IF(C76=0,0,IF(AND(C76&gt;0,C96&gt;0),C76-C80-C105,IF(C76-C80-C105-C97&lt;0,0,C76-C80-C105-C97)))</f>
        <v>0</v>
      </c>
      <c r="D106" s="94">
        <f t="shared" si="21"/>
        <v>0</v>
      </c>
      <c r="E106" s="94">
        <f t="shared" si="21"/>
        <v>0</v>
      </c>
      <c r="F106" s="94">
        <f t="shared" si="21"/>
        <v>0</v>
      </c>
      <c r="G106" s="94">
        <f t="shared" si="21"/>
        <v>0</v>
      </c>
      <c r="H106" s="94">
        <f t="shared" si="21"/>
        <v>0</v>
      </c>
      <c r="I106" s="94">
        <f>SUM(C106:H106)</f>
        <v>0</v>
      </c>
      <c r="J106" s="2"/>
    </row>
    <row r="107" spans="1:10" x14ac:dyDescent="0.2">
      <c r="A107" s="2"/>
      <c r="B107" s="2"/>
      <c r="C107" s="2"/>
      <c r="D107" s="2"/>
      <c r="E107" s="2"/>
      <c r="F107" s="2"/>
      <c r="G107" s="2"/>
      <c r="H107" s="2"/>
      <c r="I107" s="2"/>
      <c r="J107" s="2"/>
    </row>
    <row r="108" spans="1:10" x14ac:dyDescent="0.2">
      <c r="A108" s="2"/>
      <c r="B108" s="2"/>
      <c r="C108" s="2"/>
      <c r="D108" s="2"/>
      <c r="E108" s="2"/>
      <c r="F108" s="2"/>
      <c r="G108" s="2"/>
      <c r="H108" s="2"/>
      <c r="I108" s="2"/>
      <c r="J108" s="2"/>
    </row>
    <row r="109" spans="1:10" x14ac:dyDescent="0.2">
      <c r="A109" s="2"/>
      <c r="B109" s="2"/>
      <c r="C109" s="2"/>
      <c r="D109" s="2"/>
      <c r="E109" s="2"/>
      <c r="F109" s="2"/>
      <c r="G109" s="2"/>
      <c r="H109" s="2"/>
      <c r="I109" s="2"/>
      <c r="J109" s="2"/>
    </row>
    <row r="110" spans="1:10" ht="15" x14ac:dyDescent="0.25">
      <c r="A110" s="2"/>
      <c r="B110" s="961" t="s">
        <v>80</v>
      </c>
      <c r="C110" s="962"/>
      <c r="D110" s="963"/>
      <c r="E110" s="189" t="s">
        <v>48</v>
      </c>
      <c r="F110" s="128" t="s">
        <v>49</v>
      </c>
      <c r="G110" s="2"/>
      <c r="H110" s="2"/>
      <c r="I110" s="2"/>
      <c r="J110" s="2"/>
    </row>
    <row r="111" spans="1:10" x14ac:dyDescent="0.2">
      <c r="A111" s="2"/>
      <c r="B111" s="1070" t="s">
        <v>81</v>
      </c>
      <c r="C111" s="1071"/>
      <c r="D111" s="1072"/>
      <c r="E111" s="108" t="e">
        <f>I101+I106</f>
        <v>#NUM!</v>
      </c>
      <c r="F111" s="129" t="e">
        <f>E111/6</f>
        <v>#NUM!</v>
      </c>
      <c r="G111" s="2"/>
      <c r="H111" s="2"/>
      <c r="I111" s="2"/>
      <c r="J111" s="2"/>
    </row>
    <row r="112" spans="1:10" x14ac:dyDescent="0.2">
      <c r="A112" s="2"/>
      <c r="B112" s="1070" t="s">
        <v>82</v>
      </c>
      <c r="C112" s="1071"/>
      <c r="D112" s="1072"/>
      <c r="E112" s="108">
        <f>I64</f>
        <v>0</v>
      </c>
      <c r="F112" s="129">
        <f>E112/6</f>
        <v>0</v>
      </c>
      <c r="G112" s="2"/>
      <c r="H112" s="2"/>
      <c r="I112" s="2"/>
      <c r="J112" s="2"/>
    </row>
    <row r="113" spans="1:10" ht="15" x14ac:dyDescent="0.25">
      <c r="A113" s="2"/>
      <c r="B113" s="2"/>
      <c r="C113" s="2"/>
      <c r="D113" s="2"/>
      <c r="E113" s="190" t="s">
        <v>84</v>
      </c>
      <c r="F113" s="109" t="e">
        <f>F111+F112</f>
        <v>#NUM!</v>
      </c>
      <c r="G113" s="2"/>
      <c r="H113" s="2"/>
      <c r="I113" s="2"/>
      <c r="J113" s="2"/>
    </row>
    <row r="114" spans="1:10" x14ac:dyDescent="0.2">
      <c r="A114" s="2"/>
      <c r="B114" s="2"/>
      <c r="C114" s="2"/>
      <c r="D114" s="2"/>
      <c r="E114" s="2"/>
      <c r="F114" s="2"/>
      <c r="G114" s="2"/>
      <c r="H114" s="2"/>
      <c r="I114" s="2"/>
      <c r="J114" s="2"/>
    </row>
    <row r="115" spans="1:10" x14ac:dyDescent="0.2">
      <c r="A115" s="2"/>
      <c r="B115" s="2"/>
      <c r="C115" s="2"/>
      <c r="D115" s="2"/>
      <c r="E115" s="2"/>
      <c r="F115" s="2"/>
      <c r="G115" s="2"/>
      <c r="H115" s="2"/>
      <c r="I115" s="2"/>
      <c r="J115" s="2"/>
    </row>
    <row r="116" spans="1:10" x14ac:dyDescent="0.2">
      <c r="A116" s="2"/>
      <c r="B116" s="2"/>
      <c r="C116" s="2"/>
      <c r="D116" s="2"/>
      <c r="E116" s="2"/>
      <c r="F116" s="2"/>
      <c r="G116" s="2"/>
      <c r="H116" s="2"/>
      <c r="I116" s="2"/>
      <c r="J116" s="2"/>
    </row>
    <row r="117" spans="1:10" x14ac:dyDescent="0.2">
      <c r="A117" s="2"/>
      <c r="B117" s="2"/>
      <c r="C117" s="2"/>
      <c r="D117" s="2"/>
      <c r="E117" s="2"/>
      <c r="F117" s="2"/>
      <c r="G117" s="2"/>
      <c r="H117" s="2"/>
      <c r="I117" s="2"/>
      <c r="J117" s="2"/>
    </row>
    <row r="118" spans="1:10" x14ac:dyDescent="0.2">
      <c r="A118" s="2"/>
      <c r="B118" s="2"/>
      <c r="C118" s="2"/>
      <c r="D118" s="2"/>
      <c r="E118" s="2"/>
      <c r="F118" s="2"/>
      <c r="G118" s="2"/>
      <c r="H118" s="2"/>
      <c r="I118" s="2"/>
      <c r="J118" s="2"/>
    </row>
    <row r="119" spans="1:10" x14ac:dyDescent="0.2">
      <c r="A119" s="2"/>
      <c r="B119" s="2"/>
      <c r="C119" s="2"/>
      <c r="D119" s="2"/>
      <c r="E119" s="2"/>
      <c r="F119" s="1073" t="s">
        <v>85</v>
      </c>
      <c r="G119" s="1073"/>
      <c r="H119" s="130"/>
      <c r="I119" s="2"/>
      <c r="J119" s="2"/>
    </row>
    <row r="120" spans="1:10" x14ac:dyDescent="0.2">
      <c r="A120" s="2"/>
      <c r="B120" s="2"/>
      <c r="C120" s="2"/>
      <c r="D120" s="2"/>
      <c r="E120" s="2"/>
      <c r="F120" s="1074" t="s">
        <v>86</v>
      </c>
      <c r="G120" s="1074"/>
      <c r="H120" s="131"/>
      <c r="I120" s="2"/>
      <c r="J120" s="2"/>
    </row>
    <row r="121" spans="1:10" ht="15" x14ac:dyDescent="0.25">
      <c r="A121" s="2"/>
      <c r="B121" s="2"/>
      <c r="C121" s="2"/>
      <c r="D121" s="2"/>
      <c r="E121" s="2"/>
      <c r="F121" s="1075" t="s">
        <v>87</v>
      </c>
      <c r="G121" s="1075"/>
      <c r="H121" s="132" t="e">
        <f>IF(Kurzantrag!C17&gt;0,Kurzantrag!C17,ROUND(F113*45%,2))</f>
        <v>#NUM!</v>
      </c>
      <c r="I121" s="2"/>
      <c r="J121" s="2"/>
    </row>
    <row r="122" spans="1:10" x14ac:dyDescent="0.2">
      <c r="A122" s="2"/>
      <c r="B122" s="2"/>
      <c r="C122" s="2"/>
      <c r="D122" s="2"/>
      <c r="E122" s="2"/>
      <c r="F122" s="2"/>
      <c r="G122" s="2"/>
      <c r="H122" s="2"/>
      <c r="I122" s="2"/>
      <c r="J122" s="2"/>
    </row>
    <row r="123" spans="1:10" x14ac:dyDescent="0.2">
      <c r="A123" s="67"/>
      <c r="B123" s="67"/>
      <c r="C123" s="67"/>
      <c r="D123" s="67"/>
      <c r="E123" s="67"/>
      <c r="F123" s="67"/>
      <c r="G123" s="67"/>
      <c r="H123" s="67"/>
      <c r="I123" s="67"/>
      <c r="J123" s="67"/>
    </row>
    <row r="124" spans="1:10" x14ac:dyDescent="0.2">
      <c r="A124" s="2"/>
      <c r="B124" s="2"/>
      <c r="C124" s="2"/>
      <c r="D124" s="2"/>
      <c r="E124" s="2"/>
      <c r="F124" s="2"/>
      <c r="G124" s="2"/>
      <c r="H124" s="2"/>
      <c r="I124" s="2"/>
      <c r="J124" s="2"/>
    </row>
    <row r="125" spans="1:10" x14ac:dyDescent="0.2">
      <c r="A125" s="2"/>
      <c r="B125" s="2"/>
      <c r="C125" s="2"/>
      <c r="D125" s="2"/>
      <c r="E125" s="2"/>
      <c r="F125" s="2"/>
      <c r="G125" s="2"/>
      <c r="H125" s="2"/>
      <c r="I125" s="2"/>
      <c r="J125" s="2"/>
    </row>
    <row r="126" spans="1:10" x14ac:dyDescent="0.2">
      <c r="A126" s="2"/>
      <c r="B126" s="2"/>
      <c r="C126" s="2"/>
      <c r="D126" s="2"/>
      <c r="E126" s="2"/>
      <c r="F126" s="2"/>
      <c r="G126" s="2"/>
      <c r="H126" s="2"/>
      <c r="I126" s="2"/>
      <c r="J126" s="2"/>
    </row>
    <row r="127" spans="1:10" x14ac:dyDescent="0.2">
      <c r="A127" s="2"/>
      <c r="B127" s="2"/>
      <c r="C127" s="2"/>
      <c r="D127" s="2"/>
      <c r="E127" s="2"/>
      <c r="F127" s="2"/>
      <c r="G127" s="2"/>
      <c r="H127" s="2"/>
      <c r="I127" s="2"/>
      <c r="J127" s="2"/>
    </row>
    <row r="128" spans="1:10" x14ac:dyDescent="0.2">
      <c r="A128" s="2"/>
      <c r="B128" s="2"/>
      <c r="C128" s="2"/>
      <c r="D128" s="2"/>
      <c r="E128" s="2"/>
      <c r="F128" s="2"/>
      <c r="G128" s="2"/>
      <c r="H128" s="2"/>
      <c r="I128" s="2"/>
      <c r="J128" s="2"/>
    </row>
    <row r="129" spans="1:10" x14ac:dyDescent="0.2">
      <c r="A129" s="2"/>
      <c r="B129" s="2"/>
      <c r="C129" s="2"/>
      <c r="D129" s="2"/>
      <c r="E129" s="2"/>
      <c r="F129" s="2"/>
      <c r="G129" s="2"/>
      <c r="H129" s="2"/>
      <c r="I129" s="2"/>
      <c r="J129" s="2"/>
    </row>
    <row r="130" spans="1:10" x14ac:dyDescent="0.2">
      <c r="A130" s="2"/>
      <c r="B130" s="2"/>
      <c r="C130" s="2"/>
      <c r="D130" s="2"/>
      <c r="E130" s="2"/>
      <c r="F130" s="2"/>
      <c r="G130" s="2"/>
      <c r="H130" s="2"/>
      <c r="I130" s="2"/>
      <c r="J130" s="2"/>
    </row>
    <row r="131" spans="1:10" x14ac:dyDescent="0.2">
      <c r="A131" s="2"/>
      <c r="B131" s="2"/>
      <c r="C131" s="2"/>
      <c r="D131" s="2"/>
      <c r="E131" s="2"/>
      <c r="F131" s="2"/>
      <c r="G131" s="2"/>
      <c r="H131" s="2"/>
      <c r="I131" s="2"/>
      <c r="J131" s="2"/>
    </row>
    <row r="132" spans="1:10" x14ac:dyDescent="0.2">
      <c r="A132" s="2"/>
      <c r="B132" s="2"/>
      <c r="C132" s="2"/>
      <c r="D132" s="2"/>
      <c r="E132" s="2"/>
      <c r="F132" s="2"/>
      <c r="G132" s="2"/>
      <c r="H132" s="2"/>
      <c r="I132" s="2"/>
      <c r="J132" s="2"/>
    </row>
    <row r="133" spans="1:10" x14ac:dyDescent="0.2">
      <c r="A133" s="2"/>
      <c r="B133" s="2"/>
      <c r="C133" s="2"/>
      <c r="D133" s="2"/>
      <c r="E133" s="2"/>
      <c r="F133" s="2"/>
      <c r="G133" s="2"/>
      <c r="H133" s="2"/>
      <c r="I133" s="2"/>
      <c r="J133" s="2"/>
    </row>
  </sheetData>
  <sheetProtection algorithmName="SHA-512" hashValue="/jiOCBF3g/H/7llkhn3ZcoV4ZBsEm4moRwHkln44b3IExYASuFNB99ejJ5JrH1GlWUbtAHvt7mJMBkHQgTzaOQ==" saltValue="ABVieKPwoApLFSrOkBJaVg==" spinCount="100000" sheet="1" formatCells="0" formatColumns="0" formatRows="0" insertColumns="0" insertRows="0" insertHyperlinks="0" deleteColumns="0" deleteRows="0" sort="0" autoFilter="0" pivotTables="0"/>
  <mergeCells count="85">
    <mergeCell ref="B111:D111"/>
    <mergeCell ref="B112:D112"/>
    <mergeCell ref="F119:G119"/>
    <mergeCell ref="F120:G120"/>
    <mergeCell ref="F121:G121"/>
    <mergeCell ref="B110:D110"/>
    <mergeCell ref="A92:B92"/>
    <mergeCell ref="A93:B93"/>
    <mergeCell ref="A94:B94"/>
    <mergeCell ref="A95:B95"/>
    <mergeCell ref="A97:B97"/>
    <mergeCell ref="A99:B99"/>
    <mergeCell ref="A100:B100"/>
    <mergeCell ref="A101:B101"/>
    <mergeCell ref="A104:B104"/>
    <mergeCell ref="A105:B105"/>
    <mergeCell ref="A106:B106"/>
    <mergeCell ref="A98:B98"/>
    <mergeCell ref="A91:B91"/>
    <mergeCell ref="A80:B80"/>
    <mergeCell ref="I80:J80"/>
    <mergeCell ref="A81:B81"/>
    <mergeCell ref="A82:B82"/>
    <mergeCell ref="A83:B83"/>
    <mergeCell ref="A85:B85"/>
    <mergeCell ref="A86:B86"/>
    <mergeCell ref="A87:B87"/>
    <mergeCell ref="A88:B88"/>
    <mergeCell ref="A89:B89"/>
    <mergeCell ref="A90:B90"/>
    <mergeCell ref="J78:J79"/>
    <mergeCell ref="A79:B79"/>
    <mergeCell ref="A57:B57"/>
    <mergeCell ref="A58:B58"/>
    <mergeCell ref="A59:B59"/>
    <mergeCell ref="A60:B60"/>
    <mergeCell ref="C72:H72"/>
    <mergeCell ref="A73:B73"/>
    <mergeCell ref="A74:B74"/>
    <mergeCell ref="A75:B75"/>
    <mergeCell ref="A76:B76"/>
    <mergeCell ref="J76:J77"/>
    <mergeCell ref="A77:B77"/>
    <mergeCell ref="A56:B56"/>
    <mergeCell ref="A43:B43"/>
    <mergeCell ref="A44:B44"/>
    <mergeCell ref="A45:B45"/>
    <mergeCell ref="A46:B46"/>
    <mergeCell ref="A47:B47"/>
    <mergeCell ref="A48:B48"/>
    <mergeCell ref="A49:B49"/>
    <mergeCell ref="A50:B50"/>
    <mergeCell ref="A51:B51"/>
    <mergeCell ref="A52:B52"/>
    <mergeCell ref="A53:B53"/>
    <mergeCell ref="A42:B42"/>
    <mergeCell ref="A25:B25"/>
    <mergeCell ref="A26:B26"/>
    <mergeCell ref="A27:B27"/>
    <mergeCell ref="A29:B29"/>
    <mergeCell ref="B30:C30"/>
    <mergeCell ref="B31:C31"/>
    <mergeCell ref="B32:C32"/>
    <mergeCell ref="A37:B37"/>
    <mergeCell ref="A38:B38"/>
    <mergeCell ref="A39:B39"/>
    <mergeCell ref="A41:B41"/>
    <mergeCell ref="A24:B24"/>
    <mergeCell ref="A9:B9"/>
    <mergeCell ref="A10:B10"/>
    <mergeCell ref="A11:B11"/>
    <mergeCell ref="A13:B13"/>
    <mergeCell ref="A14:B14"/>
    <mergeCell ref="A15:B15"/>
    <mergeCell ref="A16:B16"/>
    <mergeCell ref="A18:B18"/>
    <mergeCell ref="A20:B20"/>
    <mergeCell ref="A21:B21"/>
    <mergeCell ref="A22:B22"/>
    <mergeCell ref="A8:B8"/>
    <mergeCell ref="C1:H1"/>
    <mergeCell ref="A3:B3"/>
    <mergeCell ref="A4:B4"/>
    <mergeCell ref="A5:B5"/>
    <mergeCell ref="A6:B6"/>
  </mergeCells>
  <dataValidations count="3">
    <dataValidation type="decimal" allowBlank="1" showInputMessage="1" showErrorMessage="1" error="Der eingegebene Wert ist unzulässig. Bitte geben Sie eine Zahl ein, die größer 0 ist." sqref="C3:H6 C8:H11 C13:H16 C18:H22 C24:H27 C38:H39 C41:H41 C43:H45 C47:H49 C52:H53 C57:H59 C75:H77 C79:H82 C86:H88 C90:H95" xr:uid="{00000000-0002-0000-0B00-000000000000}">
      <formula1>0</formula1>
      <formula2>1000000</formula2>
    </dataValidation>
    <dataValidation type="list" allowBlank="1" showInputMessage="1" showErrorMessage="1" sqref="C74:H74" xr:uid="{00000000-0002-0000-0B00-000001000000}">
      <formula1>".,ja,nein"</formula1>
    </dataValidation>
    <dataValidation allowBlank="1" showInputMessage="1" showErrorMessage="1" prompt="Bitte geben Sie das Datum im Format Monat Jahr ein (z.B. Beginn August 2012 = Aug 12)." sqref="J76:J79" xr:uid="{00000000-0002-0000-0B00-000002000000}"/>
  </dataValidations>
  <pageMargins left="0.70866141732283472" right="0.70866141732283472" top="0.8666666666666667" bottom="0.78740157480314965" header="0.31496062992125984" footer="0.31496062992125984"/>
  <pageSetup paperSize="9" scale="96" orientation="landscape" r:id="rId1"/>
  <headerFooter>
    <oddHeader>&amp;L&amp;"Arial,Fett"&amp;U4. Ermittlung des anzurechnenden Einkommens des Kindes / der Kinder:
4.1. Einkommensermittlung Kind 6:&amp;R&amp;D</oddHeader>
    <oddFooter>&amp;R&amp;P</oddFooter>
  </headerFooter>
  <rowBreaks count="3" manualBreakCount="3">
    <brk id="31" max="16383" man="1"/>
    <brk id="67" max="16383" man="1"/>
    <brk id="103"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9"/>
  <dimension ref="A1:J133"/>
  <sheetViews>
    <sheetView showGridLines="0" zoomScaleNormal="100" workbookViewId="0">
      <selection activeCell="C18" sqref="C18"/>
    </sheetView>
  </sheetViews>
  <sheetFormatPr baseColWidth="10" defaultRowHeight="14.25" x14ac:dyDescent="0.2"/>
  <cols>
    <col min="1" max="16384" width="11" style="1"/>
  </cols>
  <sheetData>
    <row r="1" spans="1:10" ht="15" x14ac:dyDescent="0.25">
      <c r="A1" s="313"/>
      <c r="B1" s="240"/>
      <c r="C1" s="914" t="s">
        <v>251</v>
      </c>
      <c r="D1" s="914"/>
      <c r="E1" s="914"/>
      <c r="F1" s="914"/>
      <c r="G1" s="914"/>
      <c r="H1" s="914"/>
      <c r="I1" s="239"/>
      <c r="J1" s="239"/>
    </row>
    <row r="2" spans="1:10" ht="15" x14ac:dyDescent="0.25">
      <c r="A2" s="407" t="s">
        <v>29</v>
      </c>
      <c r="B2" s="408"/>
      <c r="C2" s="255" t="e">
        <f>EDATE(BG!D2,-6)</f>
        <v>#NUM!</v>
      </c>
      <c r="D2" s="255" t="e">
        <f>EDATE(BG!D2,-5)</f>
        <v>#NUM!</v>
      </c>
      <c r="E2" s="255" t="e">
        <f>EDATE(BG!D2,-4)</f>
        <v>#NUM!</v>
      </c>
      <c r="F2" s="255" t="e">
        <f>EDATE(BG!D2,-3)</f>
        <v>#NUM!</v>
      </c>
      <c r="G2" s="255" t="e">
        <f>EDATE(BG!D2,-2)</f>
        <v>#NUM!</v>
      </c>
      <c r="H2" s="255" t="e">
        <f>EDATE(BG!D2,-1)</f>
        <v>#NUM!</v>
      </c>
      <c r="I2" s="292"/>
      <c r="J2" s="292"/>
    </row>
    <row r="3" spans="1:10" x14ac:dyDescent="0.2">
      <c r="A3" s="892" t="s">
        <v>66</v>
      </c>
      <c r="B3" s="893"/>
      <c r="C3" s="297"/>
      <c r="D3" s="297"/>
      <c r="E3" s="297"/>
      <c r="F3" s="297"/>
      <c r="G3" s="297"/>
      <c r="H3" s="297"/>
      <c r="I3" s="294"/>
      <c r="J3" s="294"/>
    </row>
    <row r="4" spans="1:10" x14ac:dyDescent="0.2">
      <c r="A4" s="886" t="s">
        <v>38</v>
      </c>
      <c r="B4" s="887"/>
      <c r="C4" s="298"/>
      <c r="D4" s="298"/>
      <c r="E4" s="298"/>
      <c r="F4" s="298"/>
      <c r="G4" s="298"/>
      <c r="H4" s="298"/>
      <c r="I4" s="294"/>
      <c r="J4" s="294"/>
    </row>
    <row r="5" spans="1:10" x14ac:dyDescent="0.2">
      <c r="A5" s="888" t="s">
        <v>67</v>
      </c>
      <c r="B5" s="889"/>
      <c r="C5" s="317"/>
      <c r="D5" s="317"/>
      <c r="E5" s="317"/>
      <c r="F5" s="317"/>
      <c r="G5" s="317"/>
      <c r="H5" s="317"/>
      <c r="I5" s="294"/>
      <c r="J5" s="294"/>
    </row>
    <row r="6" spans="1:10" x14ac:dyDescent="0.2">
      <c r="A6" s="912" t="s">
        <v>68</v>
      </c>
      <c r="B6" s="913"/>
      <c r="C6" s="318"/>
      <c r="D6" s="318"/>
      <c r="E6" s="318"/>
      <c r="F6" s="318"/>
      <c r="G6" s="318"/>
      <c r="H6" s="318"/>
      <c r="I6" s="294"/>
      <c r="J6" s="294"/>
    </row>
    <row r="7" spans="1:10" x14ac:dyDescent="0.2">
      <c r="A7" s="319"/>
      <c r="B7" s="319"/>
      <c r="C7" s="143">
        <f t="shared" ref="C7:H7" si="0">IF((C3+C4)=0,0,IF(AND((C3-C5)&gt;=0,(C4-C6)&gt;=0),(C3+C4-C5-C6),IF(AND((C3-C5)&gt;0,(C4-C6)&lt;0),(C3-C5),IF(AND((C3-C5)&lt;0,(C4-C6)&gt;0),(C4-C6),IF((C3-C5)&gt;0,(C3-C5),IF((C3-C5)&lt;0,0))))))</f>
        <v>0</v>
      </c>
      <c r="D7" s="143">
        <f t="shared" si="0"/>
        <v>0</v>
      </c>
      <c r="E7" s="143">
        <f t="shared" si="0"/>
        <v>0</v>
      </c>
      <c r="F7" s="143">
        <f t="shared" si="0"/>
        <v>0</v>
      </c>
      <c r="G7" s="143">
        <f t="shared" si="0"/>
        <v>0</v>
      </c>
      <c r="H7" s="143">
        <f t="shared" si="0"/>
        <v>0</v>
      </c>
      <c r="I7" s="240"/>
      <c r="J7" s="240"/>
    </row>
    <row r="8" spans="1:10" x14ac:dyDescent="0.2">
      <c r="A8" s="933" t="s">
        <v>69</v>
      </c>
      <c r="B8" s="934"/>
      <c r="C8" s="297"/>
      <c r="D8" s="297"/>
      <c r="E8" s="297"/>
      <c r="F8" s="297"/>
      <c r="G8" s="297"/>
      <c r="H8" s="297"/>
      <c r="I8" s="294"/>
      <c r="J8" s="294"/>
    </row>
    <row r="9" spans="1:10" x14ac:dyDescent="0.2">
      <c r="A9" s="935" t="s">
        <v>38</v>
      </c>
      <c r="B9" s="936"/>
      <c r="C9" s="298"/>
      <c r="D9" s="298"/>
      <c r="E9" s="298"/>
      <c r="F9" s="298"/>
      <c r="G9" s="298"/>
      <c r="H9" s="298"/>
      <c r="I9" s="294"/>
      <c r="J9" s="294"/>
    </row>
    <row r="10" spans="1:10" x14ac:dyDescent="0.2">
      <c r="A10" s="888" t="s">
        <v>67</v>
      </c>
      <c r="B10" s="889"/>
      <c r="C10" s="297"/>
      <c r="D10" s="297"/>
      <c r="E10" s="297"/>
      <c r="F10" s="297"/>
      <c r="G10" s="297"/>
      <c r="H10" s="297"/>
      <c r="I10" s="294"/>
      <c r="J10" s="294"/>
    </row>
    <row r="11" spans="1:10" x14ac:dyDescent="0.2">
      <c r="A11" s="912" t="s">
        <v>68</v>
      </c>
      <c r="B11" s="913"/>
      <c r="C11" s="318"/>
      <c r="D11" s="318"/>
      <c r="E11" s="318"/>
      <c r="F11" s="318"/>
      <c r="G11" s="318"/>
      <c r="H11" s="318"/>
      <c r="I11" s="294"/>
      <c r="J11" s="294"/>
    </row>
    <row r="12" spans="1:10" x14ac:dyDescent="0.2">
      <c r="A12" s="321"/>
      <c r="B12" s="321"/>
      <c r="C12" s="143">
        <f t="shared" ref="C12:H12" si="1">IF((C8+C9)=0,0,IF(AND((C8-C10)&gt;=0,(C9-C11)&gt;=0),(C8+C9-C10-C11),IF(AND((C8-C10)&gt;0,(C9-C11)&lt;0),(C8-C10),IF(AND((C8-C10)&lt;0,(C9-C11)&gt;0),(C9-C11),IF((C8-C10)&gt;0,(C8-C10),IF((C8-C10)&lt;0,0))))))</f>
        <v>0</v>
      </c>
      <c r="D12" s="143">
        <f t="shared" si="1"/>
        <v>0</v>
      </c>
      <c r="E12" s="143">
        <f t="shared" si="1"/>
        <v>0</v>
      </c>
      <c r="F12" s="143">
        <f t="shared" si="1"/>
        <v>0</v>
      </c>
      <c r="G12" s="143">
        <f t="shared" si="1"/>
        <v>0</v>
      </c>
      <c r="H12" s="143">
        <f t="shared" si="1"/>
        <v>0</v>
      </c>
      <c r="I12" s="240"/>
      <c r="J12" s="240"/>
    </row>
    <row r="13" spans="1:10" x14ac:dyDescent="0.2">
      <c r="A13" s="892" t="s">
        <v>70</v>
      </c>
      <c r="B13" s="893"/>
      <c r="C13" s="297"/>
      <c r="D13" s="297"/>
      <c r="E13" s="297"/>
      <c r="F13" s="297"/>
      <c r="G13" s="297"/>
      <c r="H13" s="297"/>
      <c r="I13" s="294"/>
      <c r="J13" s="294"/>
    </row>
    <row r="14" spans="1:10" x14ac:dyDescent="0.2">
      <c r="A14" s="886" t="s">
        <v>38</v>
      </c>
      <c r="B14" s="887"/>
      <c r="C14" s="298"/>
      <c r="D14" s="298"/>
      <c r="E14" s="298"/>
      <c r="F14" s="298"/>
      <c r="G14" s="298"/>
      <c r="H14" s="298"/>
      <c r="I14" s="294"/>
      <c r="J14" s="294"/>
    </row>
    <row r="15" spans="1:10" x14ac:dyDescent="0.2">
      <c r="A15" s="888" t="s">
        <v>67</v>
      </c>
      <c r="B15" s="889"/>
      <c r="C15" s="323"/>
      <c r="D15" s="297"/>
      <c r="E15" s="297"/>
      <c r="F15" s="297"/>
      <c r="G15" s="297"/>
      <c r="H15" s="297"/>
      <c r="I15" s="294"/>
      <c r="J15" s="294"/>
    </row>
    <row r="16" spans="1:10" x14ac:dyDescent="0.2">
      <c r="A16" s="912" t="s">
        <v>68</v>
      </c>
      <c r="B16" s="913"/>
      <c r="C16" s="324"/>
      <c r="D16" s="325"/>
      <c r="E16" s="325"/>
      <c r="F16" s="325"/>
      <c r="G16" s="325"/>
      <c r="H16" s="325"/>
      <c r="I16" s="294"/>
      <c r="J16" s="294"/>
    </row>
    <row r="17" spans="1:10" x14ac:dyDescent="0.2">
      <c r="A17" s="321"/>
      <c r="B17" s="321"/>
      <c r="C17" s="143">
        <f t="shared" ref="C17:H17" si="2">IF((C13+C14)=0,0,IF(AND((C13-C15)&gt;=0,(C14-C16)&gt;=0),(C13+C14-C15-C16),IF(AND((C13-C15)&gt;0,(C14-C16)&lt;0),(C13-C15),IF(AND((C13-C15)&lt;0,(C14-C16)&gt;0),(C14-C16),IF((C13-C15)&gt;0,(C13-C15),IF((C13-C15)&lt;0,0))))))</f>
        <v>0</v>
      </c>
      <c r="D17" s="143">
        <f t="shared" si="2"/>
        <v>0</v>
      </c>
      <c r="E17" s="143">
        <f t="shared" si="2"/>
        <v>0</v>
      </c>
      <c r="F17" s="143">
        <f t="shared" si="2"/>
        <v>0</v>
      </c>
      <c r="G17" s="143">
        <f t="shared" si="2"/>
        <v>0</v>
      </c>
      <c r="H17" s="143">
        <f t="shared" si="2"/>
        <v>0</v>
      </c>
      <c r="I17" s="240"/>
      <c r="J17" s="240"/>
    </row>
    <row r="18" spans="1:10" x14ac:dyDescent="0.2">
      <c r="A18" s="892" t="s">
        <v>516</v>
      </c>
      <c r="B18" s="893"/>
      <c r="C18" s="328"/>
      <c r="D18" s="328"/>
      <c r="E18" s="328"/>
      <c r="F18" s="328"/>
      <c r="G18" s="328"/>
      <c r="H18" s="328"/>
      <c r="I18" s="294"/>
      <c r="J18" s="294"/>
    </row>
    <row r="19" spans="1:10" x14ac:dyDescent="0.2">
      <c r="A19" s="607"/>
      <c r="B19" s="608" t="s">
        <v>517</v>
      </c>
      <c r="C19" s="609"/>
      <c r="D19" s="609"/>
      <c r="E19" s="609"/>
      <c r="F19" s="609"/>
      <c r="G19" s="609"/>
      <c r="H19" s="609"/>
      <c r="I19" s="294"/>
      <c r="J19" s="294"/>
    </row>
    <row r="20" spans="1:10" x14ac:dyDescent="0.2">
      <c r="A20" s="886" t="s">
        <v>515</v>
      </c>
      <c r="B20" s="887"/>
      <c r="C20" s="362"/>
      <c r="D20" s="362"/>
      <c r="E20" s="362"/>
      <c r="F20" s="362"/>
      <c r="G20" s="362"/>
      <c r="H20" s="362"/>
      <c r="I20" s="294"/>
      <c r="J20" s="294"/>
    </row>
    <row r="21" spans="1:10" x14ac:dyDescent="0.2">
      <c r="A21" s="888" t="s">
        <v>67</v>
      </c>
      <c r="B21" s="889"/>
      <c r="C21" s="323"/>
      <c r="D21" s="328"/>
      <c r="E21" s="328"/>
      <c r="F21" s="328"/>
      <c r="G21" s="328"/>
      <c r="H21" s="328"/>
      <c r="I21" s="294"/>
      <c r="J21" s="294"/>
    </row>
    <row r="22" spans="1:10" x14ac:dyDescent="0.2">
      <c r="A22" s="912" t="s">
        <v>68</v>
      </c>
      <c r="B22" s="913"/>
      <c r="C22" s="329"/>
      <c r="D22" s="318"/>
      <c r="E22" s="318"/>
      <c r="F22" s="318"/>
      <c r="G22" s="318"/>
      <c r="H22" s="318"/>
      <c r="I22" s="294"/>
      <c r="J22" s="294"/>
    </row>
    <row r="23" spans="1:10" s="614" customFormat="1" x14ac:dyDescent="0.2">
      <c r="A23" s="615"/>
      <c r="B23" s="615"/>
      <c r="C23" s="143">
        <f>IF((C18+C19+C20)=0,0,IF(AND((C18+C19-C21)&gt;=0,(C20-C22)&gt;=0),(C18+C19+C20-C21-C22),IF(AND((C18+C19-C21)&gt;0,(C20-C22)&lt;0),(C18+C19-C21),IF(AND((C18+C19-C21)&lt;0,(C20-C22)&gt;0),(C20-C22),IF((C18+C19-C21)&gt;0,(C18+C19-C21),IF((C18+C19-C21)&lt;0,0))))))</f>
        <v>0</v>
      </c>
      <c r="D23" s="143">
        <f t="shared" ref="D23:H23" si="3">IF((D18+D19+D20)=0,0,IF(AND((D18+D19-D21)&gt;=0,(D20-D22)&gt;=0),(D18+D19+D20-D21-D22),IF(AND((D18+D19-D21)&gt;0,(D20-D22)&lt;0),(D18+D19-D21),IF(AND((D18+D19-D21)&lt;0,(D20-D22)&gt;0),(D20-D22),IF((D18+D19-D21)&gt;0,(D18+D19-D21),IF((D18+D19-D21)&lt;0,0))))))</f>
        <v>0</v>
      </c>
      <c r="E23" s="143">
        <f t="shared" si="3"/>
        <v>0</v>
      </c>
      <c r="F23" s="143">
        <f t="shared" si="3"/>
        <v>0</v>
      </c>
      <c r="G23" s="143">
        <f t="shared" si="3"/>
        <v>0</v>
      </c>
      <c r="H23" s="143">
        <f t="shared" si="3"/>
        <v>0</v>
      </c>
      <c r="I23" s="81"/>
      <c r="J23" s="81"/>
    </row>
    <row r="24" spans="1:10" x14ac:dyDescent="0.2">
      <c r="A24" s="892" t="s">
        <v>71</v>
      </c>
      <c r="B24" s="893"/>
      <c r="C24" s="297"/>
      <c r="D24" s="297"/>
      <c r="E24" s="297"/>
      <c r="F24" s="297"/>
      <c r="G24" s="297"/>
      <c r="H24" s="297"/>
      <c r="I24" s="294"/>
      <c r="J24" s="294"/>
    </row>
    <row r="25" spans="1:10" x14ac:dyDescent="0.2">
      <c r="A25" s="886" t="s">
        <v>38</v>
      </c>
      <c r="B25" s="887"/>
      <c r="C25" s="298"/>
      <c r="D25" s="298"/>
      <c r="E25" s="298"/>
      <c r="F25" s="298"/>
      <c r="G25" s="298"/>
      <c r="H25" s="298"/>
      <c r="I25" s="294"/>
      <c r="J25" s="294"/>
    </row>
    <row r="26" spans="1:10" x14ac:dyDescent="0.2">
      <c r="A26" s="888" t="s">
        <v>67</v>
      </c>
      <c r="B26" s="889"/>
      <c r="C26" s="323"/>
      <c r="D26" s="297"/>
      <c r="E26" s="297"/>
      <c r="F26" s="297"/>
      <c r="G26" s="297"/>
      <c r="H26" s="297"/>
      <c r="I26" s="294"/>
      <c r="J26" s="294"/>
    </row>
    <row r="27" spans="1:10" x14ac:dyDescent="0.2">
      <c r="A27" s="890" t="s">
        <v>68</v>
      </c>
      <c r="B27" s="891"/>
      <c r="C27" s="329"/>
      <c r="D27" s="318"/>
      <c r="E27" s="318"/>
      <c r="F27" s="318"/>
      <c r="G27" s="318"/>
      <c r="H27" s="318"/>
      <c r="I27" s="294"/>
      <c r="J27" s="294"/>
    </row>
    <row r="28" spans="1:10" x14ac:dyDescent="0.2">
      <c r="A28" s="331"/>
      <c r="B28" s="330"/>
      <c r="C28" s="144">
        <f t="shared" ref="C28:H28" si="4">IF((C24+C25)=0,0,IF(AND((C24-C26)&gt;=0,(C25-C27)&gt;=0),(C24+C25-C26-C27),IF(AND((C24-C26)&gt;0,(C25-C27)&lt;0),(C24-C26),IF(AND((C24-C26)&lt;0,(C25-C27)&gt;0),(C25-C27),IF((C24-C26)&gt;0,(C24-C26),IF((C24-C26)&lt;0,0))))))</f>
        <v>0</v>
      </c>
      <c r="D28" s="144">
        <f t="shared" si="4"/>
        <v>0</v>
      </c>
      <c r="E28" s="144">
        <f t="shared" si="4"/>
        <v>0</v>
      </c>
      <c r="F28" s="144">
        <f t="shared" si="4"/>
        <v>0</v>
      </c>
      <c r="G28" s="144">
        <f t="shared" si="4"/>
        <v>0</v>
      </c>
      <c r="H28" s="144">
        <f t="shared" si="4"/>
        <v>0</v>
      </c>
      <c r="I28" s="239"/>
      <c r="J28" s="239"/>
    </row>
    <row r="29" spans="1:10" s="614" customFormat="1" x14ac:dyDescent="0.2">
      <c r="A29" s="1061"/>
      <c r="B29" s="1061"/>
      <c r="C29" s="617">
        <f>IF(AND(C18&gt;0,AS!C53&gt;0),C18,0)</f>
        <v>0</v>
      </c>
      <c r="D29" s="617">
        <f>IF(AND(D18&gt;0,AS!D53&gt;0),D18,0)</f>
        <v>0</v>
      </c>
      <c r="E29" s="617">
        <f>IF(AND(E18&gt;0,AS!E53&gt;0),E18,0)</f>
        <v>0</v>
      </c>
      <c r="F29" s="617">
        <f>IF(AND(F18&gt;0,AS!F53&gt;0),F18,0)</f>
        <v>0</v>
      </c>
      <c r="G29" s="617">
        <f>IF(AND(G18&gt;0,AS!G53&gt;0),G18,0)</f>
        <v>0</v>
      </c>
      <c r="H29" s="617">
        <f>IF(AND(H18&gt;0,AS!H53&gt;0),H18,0)</f>
        <v>0</v>
      </c>
      <c r="I29" s="84"/>
      <c r="J29" s="613"/>
    </row>
    <row r="30" spans="1:10" x14ac:dyDescent="0.2">
      <c r="A30" s="239"/>
      <c r="B30" s="1044"/>
      <c r="C30" s="1044"/>
      <c r="D30" s="409"/>
      <c r="E30" s="409"/>
      <c r="F30" s="409"/>
      <c r="G30" s="409"/>
      <c r="H30" s="409"/>
      <c r="I30" s="409"/>
      <c r="J30" s="239"/>
    </row>
    <row r="31" spans="1:10" x14ac:dyDescent="0.2">
      <c r="A31" s="239"/>
      <c r="B31" s="1045"/>
      <c r="C31" s="1045"/>
      <c r="D31" s="334"/>
      <c r="E31" s="334"/>
      <c r="F31" s="334"/>
      <c r="G31" s="334"/>
      <c r="H31" s="334"/>
      <c r="I31" s="334"/>
      <c r="J31" s="239"/>
    </row>
    <row r="32" spans="1:10" x14ac:dyDescent="0.2">
      <c r="A32" s="239"/>
      <c r="B32" s="1045"/>
      <c r="C32" s="1045"/>
      <c r="D32" s="334"/>
      <c r="E32" s="334"/>
      <c r="F32" s="334"/>
      <c r="G32" s="334"/>
      <c r="H32" s="334"/>
      <c r="I32" s="334"/>
      <c r="J32" s="239"/>
    </row>
    <row r="33" spans="1:10" x14ac:dyDescent="0.2">
      <c r="A33" s="239"/>
      <c r="B33" s="332"/>
      <c r="C33" s="332"/>
      <c r="D33" s="334"/>
      <c r="E33" s="334"/>
      <c r="F33" s="334"/>
      <c r="G33" s="334"/>
      <c r="H33" s="334"/>
      <c r="I33" s="334"/>
      <c r="J33" s="239"/>
    </row>
    <row r="34" spans="1:10" x14ac:dyDescent="0.2">
      <c r="A34" s="239"/>
      <c r="B34" s="239"/>
      <c r="C34" s="239"/>
      <c r="D34" s="239"/>
      <c r="E34" s="239"/>
      <c r="F34" s="239"/>
      <c r="G34" s="239"/>
      <c r="H34" s="239"/>
      <c r="I34" s="239"/>
      <c r="J34" s="239"/>
    </row>
    <row r="35" spans="1:10" x14ac:dyDescent="0.2">
      <c r="A35" s="239"/>
      <c r="B35" s="239"/>
      <c r="C35" s="239"/>
      <c r="D35" s="239"/>
      <c r="E35" s="239"/>
      <c r="F35" s="239"/>
      <c r="G35" s="239"/>
      <c r="H35" s="239"/>
      <c r="I35" s="239"/>
      <c r="J35" s="239"/>
    </row>
    <row r="36" spans="1:10" x14ac:dyDescent="0.2">
      <c r="A36" s="239"/>
      <c r="B36" s="239"/>
      <c r="C36" s="239"/>
      <c r="D36" s="239"/>
      <c r="E36" s="239"/>
      <c r="F36" s="239"/>
      <c r="G36" s="239"/>
      <c r="H36" s="239"/>
      <c r="I36" s="239"/>
      <c r="J36" s="239"/>
    </row>
    <row r="37" spans="1:10" ht="15" x14ac:dyDescent="0.25">
      <c r="A37" s="931" t="s">
        <v>29</v>
      </c>
      <c r="B37" s="932"/>
      <c r="C37" s="255" t="e">
        <f>EDATE(BG!D2,-6)</f>
        <v>#NUM!</v>
      </c>
      <c r="D37" s="255" t="e">
        <f>EDATE(BG!D2,-5)</f>
        <v>#NUM!</v>
      </c>
      <c r="E37" s="255" t="e">
        <f>EDATE(BG!D2,-4)</f>
        <v>#NUM!</v>
      </c>
      <c r="F37" s="255" t="e">
        <f>EDATE(BG!D2,-3)</f>
        <v>#NUM!</v>
      </c>
      <c r="G37" s="255" t="e">
        <f>EDATE(BG!D2,-2)</f>
        <v>#NUM!</v>
      </c>
      <c r="H37" s="255" t="e">
        <f>EDATE(BG!D2,-1)</f>
        <v>#NUM!</v>
      </c>
      <c r="I37" s="292"/>
      <c r="J37" s="292"/>
    </row>
    <row r="38" spans="1:10" x14ac:dyDescent="0.2">
      <c r="A38" s="896" t="s">
        <v>73</v>
      </c>
      <c r="B38" s="897"/>
      <c r="C38" s="333"/>
      <c r="D38" s="333"/>
      <c r="E38" s="333"/>
      <c r="F38" s="333"/>
      <c r="G38" s="333"/>
      <c r="H38" s="333"/>
      <c r="I38" s="294"/>
      <c r="J38" s="294"/>
    </row>
    <row r="39" spans="1:10" x14ac:dyDescent="0.2">
      <c r="A39" s="868" t="s">
        <v>74</v>
      </c>
      <c r="B39" s="869"/>
      <c r="C39" s="333"/>
      <c r="D39" s="333"/>
      <c r="E39" s="333"/>
      <c r="F39" s="333"/>
      <c r="G39" s="333"/>
      <c r="H39" s="333"/>
      <c r="I39" s="294"/>
      <c r="J39" s="294"/>
    </row>
    <row r="40" spans="1:10" x14ac:dyDescent="0.2">
      <c r="A40" s="239"/>
      <c r="B40" s="239"/>
      <c r="C40" s="239"/>
      <c r="D40" s="239"/>
      <c r="E40" s="239"/>
      <c r="F40" s="239"/>
      <c r="G40" s="239"/>
      <c r="H40" s="239"/>
      <c r="I40" s="240"/>
      <c r="J40" s="240"/>
    </row>
    <row r="41" spans="1:10" x14ac:dyDescent="0.2">
      <c r="A41" s="1046" t="s">
        <v>252</v>
      </c>
      <c r="B41" s="1047"/>
      <c r="C41" s="363"/>
      <c r="D41" s="363"/>
      <c r="E41" s="363"/>
      <c r="F41" s="363"/>
      <c r="G41" s="363"/>
      <c r="H41" s="363"/>
      <c r="I41" s="294"/>
      <c r="J41" s="294"/>
    </row>
    <row r="42" spans="1:10" x14ac:dyDescent="0.2">
      <c r="A42" s="1042" t="s">
        <v>313</v>
      </c>
      <c r="B42" s="1043"/>
      <c r="C42" s="294"/>
      <c r="D42" s="294"/>
      <c r="E42" s="294"/>
      <c r="F42" s="294"/>
      <c r="G42" s="294"/>
      <c r="H42" s="410"/>
      <c r="I42" s="240"/>
      <c r="J42" s="240"/>
    </row>
    <row r="43" spans="1:10" x14ac:dyDescent="0.2">
      <c r="A43" s="884" t="s">
        <v>314</v>
      </c>
      <c r="B43" s="885"/>
      <c r="C43" s="336"/>
      <c r="D43" s="336"/>
      <c r="E43" s="336"/>
      <c r="F43" s="336"/>
      <c r="G43" s="336"/>
      <c r="H43" s="336"/>
      <c r="I43" s="294"/>
      <c r="J43" s="294"/>
    </row>
    <row r="44" spans="1:10" x14ac:dyDescent="0.2">
      <c r="A44" s="880" t="s">
        <v>495</v>
      </c>
      <c r="B44" s="881"/>
      <c r="C44" s="339"/>
      <c r="D44" s="339"/>
      <c r="E44" s="339"/>
      <c r="F44" s="339"/>
      <c r="G44" s="339"/>
      <c r="H44" s="339"/>
      <c r="I44" s="294"/>
      <c r="J44" s="294"/>
    </row>
    <row r="45" spans="1:10" x14ac:dyDescent="0.2">
      <c r="A45" s="882" t="s">
        <v>316</v>
      </c>
      <c r="B45" s="883"/>
      <c r="C45" s="339"/>
      <c r="D45" s="339"/>
      <c r="E45" s="339"/>
      <c r="F45" s="339"/>
      <c r="G45" s="339"/>
      <c r="H45" s="339"/>
      <c r="I45" s="294"/>
      <c r="J45" s="294"/>
    </row>
    <row r="46" spans="1:10" x14ac:dyDescent="0.2">
      <c r="A46" s="870" t="s">
        <v>317</v>
      </c>
      <c r="B46" s="871"/>
      <c r="C46" s="340" t="e">
        <f t="shared" ref="C46:H46" si="5">IF(AND(C96=0,C41&gt;0,C61&gt;17),30,0)</f>
        <v>#NUM!</v>
      </c>
      <c r="D46" s="340" t="e">
        <f t="shared" si="5"/>
        <v>#NUM!</v>
      </c>
      <c r="E46" s="340" t="e">
        <f t="shared" si="5"/>
        <v>#NUM!</v>
      </c>
      <c r="F46" s="340" t="e">
        <f t="shared" si="5"/>
        <v>#NUM!</v>
      </c>
      <c r="G46" s="340" t="e">
        <f t="shared" si="5"/>
        <v>#NUM!</v>
      </c>
      <c r="H46" s="340" t="e">
        <f t="shared" si="5"/>
        <v>#NUM!</v>
      </c>
      <c r="I46" s="240"/>
      <c r="J46" s="240"/>
    </row>
    <row r="47" spans="1:10" x14ac:dyDescent="0.2">
      <c r="A47" s="872" t="s">
        <v>58</v>
      </c>
      <c r="B47" s="872"/>
      <c r="C47" s="364"/>
      <c r="D47" s="364"/>
      <c r="E47" s="364"/>
      <c r="F47" s="364"/>
      <c r="G47" s="364"/>
      <c r="H47" s="364"/>
      <c r="I47" s="294"/>
      <c r="J47" s="294"/>
    </row>
    <row r="48" spans="1:10" x14ac:dyDescent="0.2">
      <c r="A48" s="873" t="s">
        <v>318</v>
      </c>
      <c r="B48" s="874"/>
      <c r="C48" s="336"/>
      <c r="D48" s="336"/>
      <c r="E48" s="336"/>
      <c r="F48" s="336"/>
      <c r="G48" s="336"/>
      <c r="H48" s="336"/>
      <c r="I48" s="294"/>
      <c r="J48" s="294"/>
    </row>
    <row r="49" spans="1:10" x14ac:dyDescent="0.2">
      <c r="A49" s="810" t="s">
        <v>319</v>
      </c>
      <c r="B49" s="810"/>
      <c r="C49" s="337"/>
      <c r="D49" s="337"/>
      <c r="E49" s="337"/>
      <c r="F49" s="337"/>
      <c r="G49" s="337"/>
      <c r="H49" s="337"/>
      <c r="I49" s="294"/>
      <c r="J49" s="294"/>
    </row>
    <row r="50" spans="1:10" x14ac:dyDescent="0.2">
      <c r="A50" s="810" t="s">
        <v>320</v>
      </c>
      <c r="B50" s="810"/>
      <c r="C50" s="287">
        <f t="shared" ref="C50:H50" si="6">IF(C41=ISBLANK(0),0,IF(C96&gt;0,SUM(C43:C49),IF(C96=0,IF(SUM(C43:C49)&lt;100,100,SUM(C43:C49)))))</f>
        <v>0</v>
      </c>
      <c r="D50" s="287">
        <f t="shared" si="6"/>
        <v>0</v>
      </c>
      <c r="E50" s="287">
        <f t="shared" si="6"/>
        <v>0</v>
      </c>
      <c r="F50" s="287">
        <f t="shared" si="6"/>
        <v>0</v>
      </c>
      <c r="G50" s="287">
        <f t="shared" si="6"/>
        <v>0</v>
      </c>
      <c r="H50" s="287">
        <f t="shared" si="6"/>
        <v>0</v>
      </c>
      <c r="I50" s="294"/>
      <c r="J50" s="294"/>
    </row>
    <row r="51" spans="1:10" x14ac:dyDescent="0.2">
      <c r="A51" s="810" t="s">
        <v>322</v>
      </c>
      <c r="B51" s="810"/>
      <c r="C51" s="287">
        <f t="shared" ref="C51:H51" si="7">IF(C41-C50&lt;0,0,C41-C50)</f>
        <v>0</v>
      </c>
      <c r="D51" s="287">
        <f t="shared" si="7"/>
        <v>0</v>
      </c>
      <c r="E51" s="287">
        <f t="shared" si="7"/>
        <v>0</v>
      </c>
      <c r="F51" s="287">
        <f t="shared" si="7"/>
        <v>0</v>
      </c>
      <c r="G51" s="287">
        <f t="shared" si="7"/>
        <v>0</v>
      </c>
      <c r="H51" s="287">
        <f t="shared" si="7"/>
        <v>0</v>
      </c>
      <c r="I51" s="240"/>
      <c r="J51" s="240"/>
    </row>
    <row r="52" spans="1:10" x14ac:dyDescent="0.2">
      <c r="A52" s="866" t="s">
        <v>321</v>
      </c>
      <c r="B52" s="867"/>
      <c r="C52" s="365"/>
      <c r="D52" s="365"/>
      <c r="E52" s="365"/>
      <c r="F52" s="365"/>
      <c r="G52" s="365"/>
      <c r="H52" s="365"/>
      <c r="I52" s="294"/>
      <c r="J52" s="294"/>
    </row>
    <row r="53" spans="1:10" x14ac:dyDescent="0.2">
      <c r="A53" s="868" t="s">
        <v>68</v>
      </c>
      <c r="B53" s="869"/>
      <c r="C53" s="333"/>
      <c r="D53" s="333"/>
      <c r="E53" s="333"/>
      <c r="F53" s="333"/>
      <c r="G53" s="333"/>
      <c r="H53" s="333"/>
      <c r="I53" s="294"/>
      <c r="J53" s="294"/>
    </row>
    <row r="54" spans="1:10" x14ac:dyDescent="0.2">
      <c r="A54" s="239"/>
      <c r="B54" s="239"/>
      <c r="C54" s="93">
        <f t="shared" ref="C54:H54" si="8">IF((C52-C53)&lt;0,0,(C52-C53))</f>
        <v>0</v>
      </c>
      <c r="D54" s="93">
        <f t="shared" si="8"/>
        <v>0</v>
      </c>
      <c r="E54" s="93">
        <f t="shared" si="8"/>
        <v>0</v>
      </c>
      <c r="F54" s="93">
        <f t="shared" si="8"/>
        <v>0</v>
      </c>
      <c r="G54" s="93">
        <f t="shared" si="8"/>
        <v>0</v>
      </c>
      <c r="H54" s="93">
        <f t="shared" si="8"/>
        <v>0</v>
      </c>
      <c r="I54" s="240"/>
      <c r="J54" s="240"/>
    </row>
    <row r="55" spans="1:10" x14ac:dyDescent="0.2">
      <c r="A55" s="239"/>
      <c r="B55" s="239"/>
      <c r="C55" s="93">
        <f t="shared" ref="C55:H55" si="9">IF(C38-C39&lt;0,0,C38-C39)</f>
        <v>0</v>
      </c>
      <c r="D55" s="93">
        <f t="shared" si="9"/>
        <v>0</v>
      </c>
      <c r="E55" s="93">
        <f t="shared" si="9"/>
        <v>0</v>
      </c>
      <c r="F55" s="93">
        <f t="shared" si="9"/>
        <v>0</v>
      </c>
      <c r="G55" s="93">
        <f t="shared" si="9"/>
        <v>0</v>
      </c>
      <c r="H55" s="93">
        <f t="shared" si="9"/>
        <v>0</v>
      </c>
      <c r="I55" s="240"/>
      <c r="J55" s="240"/>
    </row>
    <row r="56" spans="1:10" ht="15" x14ac:dyDescent="0.25">
      <c r="A56" s="902" t="s">
        <v>75</v>
      </c>
      <c r="B56" s="902"/>
      <c r="C56" s="342" t="s">
        <v>323</v>
      </c>
      <c r="D56" s="309"/>
      <c r="E56" s="309"/>
      <c r="F56" s="309"/>
      <c r="G56" s="309"/>
      <c r="H56" s="309"/>
      <c r="I56" s="240"/>
      <c r="J56" s="240"/>
    </row>
    <row r="57" spans="1:10" x14ac:dyDescent="0.2">
      <c r="A57" s="903" t="s">
        <v>56</v>
      </c>
      <c r="B57" s="903"/>
      <c r="C57" s="308"/>
      <c r="D57" s="308"/>
      <c r="E57" s="308"/>
      <c r="F57" s="308"/>
      <c r="G57" s="308"/>
      <c r="H57" s="308"/>
      <c r="I57" s="294"/>
      <c r="J57" s="294"/>
    </row>
    <row r="58" spans="1:10" x14ac:dyDescent="0.2">
      <c r="A58" s="903" t="s">
        <v>57</v>
      </c>
      <c r="B58" s="903"/>
      <c r="C58" s="308"/>
      <c r="D58" s="308"/>
      <c r="E58" s="308"/>
      <c r="F58" s="308"/>
      <c r="G58" s="308"/>
      <c r="H58" s="308"/>
      <c r="I58" s="294"/>
      <c r="J58" s="294"/>
    </row>
    <row r="59" spans="1:10" x14ac:dyDescent="0.2">
      <c r="A59" s="903" t="s">
        <v>58</v>
      </c>
      <c r="B59" s="903"/>
      <c r="C59" s="308"/>
      <c r="D59" s="308"/>
      <c r="E59" s="308"/>
      <c r="F59" s="308"/>
      <c r="G59" s="308"/>
      <c r="H59" s="308"/>
      <c r="I59" s="294"/>
      <c r="J59" s="294"/>
    </row>
    <row r="60" spans="1:10" x14ac:dyDescent="0.2">
      <c r="A60" s="903" t="s">
        <v>76</v>
      </c>
      <c r="B60" s="903"/>
      <c r="C60" s="343">
        <f>IF(C61&lt;18,0,IF(C46=30,0,IF((C75+C76+H78)&gt;0,0,IF(C96=0,30,IF(C96&gt;0,0)))))</f>
        <v>0</v>
      </c>
      <c r="D60" s="343">
        <f>IF(D61&lt;18,0,IF(D46=30,0,IF((D75+D76+H78)&gt;0,0,IF(D96=0,30,IF(D96&gt;0,0)))))</f>
        <v>0</v>
      </c>
      <c r="E60" s="343">
        <f>IF(E61&lt;18,0,IF(E46=30,0,IF((E75+E76+H78)&gt;0,0,IF(E96=0,30,IF(E96&gt;0,0)))))</f>
        <v>0</v>
      </c>
      <c r="F60" s="343">
        <f>IF(F61&lt;18,0,IF(F46=30,0,IF((F75+F76+H78)&gt;0,0,IF(F96=0,30,IF(F96&gt;0,0)))))</f>
        <v>0</v>
      </c>
      <c r="G60" s="343">
        <f>IF(G61&lt;18,0,IF(G46=30,0,IF((G75+G76+H78)&gt;0,0,IF(G96=0,30,IF(G96&gt;0,0)))))</f>
        <v>0</v>
      </c>
      <c r="H60" s="343">
        <f>IF(H61&lt;18,0,IF(H46=30,0,IF((H75+H76+H78)&gt;0,0,IF(H96=0,30,IF(H96&gt;0,0)))))</f>
        <v>0</v>
      </c>
      <c r="I60" s="239"/>
      <c r="J60" s="239"/>
    </row>
    <row r="61" spans="1:10" x14ac:dyDescent="0.2">
      <c r="A61" s="239"/>
      <c r="B61" s="239"/>
      <c r="C61" s="84">
        <f>IF(BG!$C$27=ISBLANK(0),0,IF(INT((C37-BG!$C$27)/365.25)&lt;0,0,INT((C37-BG!$C$27)/365.25)))</f>
        <v>0</v>
      </c>
      <c r="D61" s="84">
        <f>IF(BG!$C$27=ISBLANK(0),0,IF(INT((D37-BG!$C$27)/365.25)&lt;0,0,INT((D37-BG!$C$27)/365.25)))</f>
        <v>0</v>
      </c>
      <c r="E61" s="84">
        <f>IF(BG!$C$27=ISBLANK(0),0,IF(INT((E37-BG!$C$27)/365.25)&lt;0,0,INT((E37-BG!$C$27)/365.25)))</f>
        <v>0</v>
      </c>
      <c r="F61" s="84">
        <f>IF(BG!$C$27=ISBLANK(0),0,IF(INT((F37-BG!$C$27)/365.25)&lt;0,0,INT((F37-BG!$C$27)/365.25)))</f>
        <v>0</v>
      </c>
      <c r="G61" s="84">
        <f>IF(BG!$C$27=ISBLANK(0),0,IF(INT((G37-BG!$C$27)/365.25)&lt;0,0,INT((G37-BG!$C$27)/365.25)))</f>
        <v>0</v>
      </c>
      <c r="H61" s="84">
        <f>IF(BG!$C$27=ISBLANK(0),0,IF(INT((H37-BG!$C$27)/365.25)&lt;0,0,INT((H37-BG!$C$27)/365.25)))</f>
        <v>0</v>
      </c>
      <c r="I61" s="239"/>
      <c r="J61" s="239"/>
    </row>
    <row r="62" spans="1:10" x14ac:dyDescent="0.2">
      <c r="A62" s="241"/>
      <c r="B62" s="344" t="s">
        <v>77</v>
      </c>
      <c r="C62" s="97">
        <f t="shared" ref="C62:H62" si="10">C7+C12+C17+C23+C28+C51+C54+C55</f>
        <v>0</v>
      </c>
      <c r="D62" s="97">
        <f t="shared" si="10"/>
        <v>0</v>
      </c>
      <c r="E62" s="97">
        <f t="shared" si="10"/>
        <v>0</v>
      </c>
      <c r="F62" s="97">
        <f t="shared" si="10"/>
        <v>0</v>
      </c>
      <c r="G62" s="97">
        <f t="shared" si="10"/>
        <v>0</v>
      </c>
      <c r="H62" s="97">
        <f t="shared" si="10"/>
        <v>0</v>
      </c>
      <c r="I62" s="258" t="s">
        <v>48</v>
      </c>
      <c r="J62" s="239"/>
    </row>
    <row r="63" spans="1:10" x14ac:dyDescent="0.2">
      <c r="A63" s="345"/>
      <c r="B63" s="346" t="s">
        <v>78</v>
      </c>
      <c r="C63" s="106">
        <f t="shared" ref="C63:H63" si="11">SUM(C57:C60)</f>
        <v>0</v>
      </c>
      <c r="D63" s="106">
        <f t="shared" si="11"/>
        <v>0</v>
      </c>
      <c r="E63" s="106">
        <f t="shared" si="11"/>
        <v>0</v>
      </c>
      <c r="F63" s="106">
        <f t="shared" si="11"/>
        <v>0</v>
      </c>
      <c r="G63" s="106">
        <f t="shared" si="11"/>
        <v>0</v>
      </c>
      <c r="H63" s="106">
        <f t="shared" si="11"/>
        <v>0</v>
      </c>
      <c r="I63" s="347"/>
      <c r="J63" s="239"/>
    </row>
    <row r="64" spans="1:10" x14ac:dyDescent="0.2">
      <c r="A64" s="281"/>
      <c r="B64" s="348" t="s">
        <v>79</v>
      </c>
      <c r="C64" s="296">
        <f t="shared" ref="C64:H64" si="12">IF((C62-C63)&lt;0,0,(C62-C63))</f>
        <v>0</v>
      </c>
      <c r="D64" s="296">
        <f t="shared" si="12"/>
        <v>0</v>
      </c>
      <c r="E64" s="296">
        <f t="shared" si="12"/>
        <v>0</v>
      </c>
      <c r="F64" s="296">
        <f t="shared" si="12"/>
        <v>0</v>
      </c>
      <c r="G64" s="296">
        <f t="shared" si="12"/>
        <v>0</v>
      </c>
      <c r="H64" s="296">
        <f t="shared" si="12"/>
        <v>0</v>
      </c>
      <c r="I64" s="287">
        <f>SUM(C64:H64)</f>
        <v>0</v>
      </c>
      <c r="J64" s="239"/>
    </row>
    <row r="65" spans="1:10" x14ac:dyDescent="0.2">
      <c r="A65" s="239"/>
      <c r="B65" s="239"/>
      <c r="C65" s="239"/>
      <c r="D65" s="239"/>
      <c r="E65" s="239"/>
      <c r="F65" s="239"/>
      <c r="G65" s="239"/>
      <c r="H65" s="239"/>
      <c r="I65" s="239"/>
      <c r="J65" s="239"/>
    </row>
    <row r="66" spans="1:10" x14ac:dyDescent="0.2">
      <c r="A66" s="239"/>
      <c r="B66" s="239"/>
      <c r="C66" s="239"/>
      <c r="D66" s="239"/>
      <c r="E66" s="239"/>
      <c r="F66" s="239"/>
      <c r="G66" s="239"/>
      <c r="H66" s="239"/>
      <c r="I66" s="239"/>
      <c r="J66" s="239"/>
    </row>
    <row r="67" spans="1:10" x14ac:dyDescent="0.2">
      <c r="A67" s="239"/>
      <c r="B67" s="239"/>
      <c r="C67" s="239"/>
      <c r="D67" s="239"/>
      <c r="E67" s="239"/>
      <c r="F67" s="239"/>
      <c r="G67" s="239"/>
      <c r="H67" s="239"/>
      <c r="I67" s="239"/>
      <c r="J67" s="239"/>
    </row>
    <row r="68" spans="1:10" x14ac:dyDescent="0.2">
      <c r="A68" s="239"/>
      <c r="B68" s="239"/>
      <c r="C68" s="239"/>
      <c r="D68" s="239"/>
      <c r="E68" s="239"/>
      <c r="F68" s="239"/>
      <c r="G68" s="239"/>
      <c r="H68" s="239"/>
      <c r="I68" s="239"/>
      <c r="J68" s="239"/>
    </row>
    <row r="69" spans="1:10" x14ac:dyDescent="0.2">
      <c r="A69" s="239"/>
      <c r="B69" s="239"/>
      <c r="C69" s="239"/>
      <c r="D69" s="239"/>
      <c r="E69" s="239"/>
      <c r="F69" s="239"/>
      <c r="G69" s="239"/>
      <c r="H69" s="239"/>
      <c r="I69" s="239"/>
      <c r="J69" s="239"/>
    </row>
    <row r="70" spans="1:10" x14ac:dyDescent="0.2">
      <c r="A70" s="239"/>
      <c r="B70" s="239"/>
      <c r="C70" s="239"/>
      <c r="D70" s="239"/>
      <c r="E70" s="239"/>
      <c r="F70" s="239"/>
      <c r="G70" s="239"/>
      <c r="H70" s="239"/>
      <c r="I70" s="239"/>
      <c r="J70" s="239"/>
    </row>
    <row r="71" spans="1:10" x14ac:dyDescent="0.2">
      <c r="A71" s="239"/>
      <c r="B71" s="239"/>
      <c r="C71" s="239"/>
      <c r="D71" s="239"/>
      <c r="E71" s="239"/>
      <c r="F71" s="239"/>
      <c r="G71" s="239"/>
      <c r="H71" s="239"/>
      <c r="I71" s="239"/>
      <c r="J71" s="239"/>
    </row>
    <row r="72" spans="1:10" ht="15" x14ac:dyDescent="0.25">
      <c r="A72" s="249"/>
      <c r="B72" s="239"/>
      <c r="C72" s="914" t="s">
        <v>46</v>
      </c>
      <c r="D72" s="914"/>
      <c r="E72" s="914"/>
      <c r="F72" s="914"/>
      <c r="G72" s="914"/>
      <c r="H72" s="914"/>
      <c r="I72" s="239"/>
      <c r="J72" s="239"/>
    </row>
    <row r="73" spans="1:10" ht="15" x14ac:dyDescent="0.25">
      <c r="A73" s="915" t="s">
        <v>29</v>
      </c>
      <c r="B73" s="915"/>
      <c r="C73" s="255" t="e">
        <f>EDATE(BG!D2,-6)</f>
        <v>#NUM!</v>
      </c>
      <c r="D73" s="255" t="e">
        <f>EDATE(BG!D2,-5)</f>
        <v>#NUM!</v>
      </c>
      <c r="E73" s="255" t="e">
        <f>EDATE(BG!D2,-4)</f>
        <v>#NUM!</v>
      </c>
      <c r="F73" s="255" t="e">
        <f>EDATE(BG!D2,-3)</f>
        <v>#NUM!</v>
      </c>
      <c r="G73" s="255" t="e">
        <f>EDATE(BG!D2,-2)</f>
        <v>#NUM!</v>
      </c>
      <c r="H73" s="255" t="e">
        <f>EDATE(BG!D2,-1)</f>
        <v>#NUM!</v>
      </c>
      <c r="I73" s="245"/>
      <c r="J73" s="292"/>
    </row>
    <row r="74" spans="1:10" x14ac:dyDescent="0.2">
      <c r="A74" s="1050" t="s">
        <v>596</v>
      </c>
      <c r="B74" s="1051"/>
      <c r="C74" s="366" t="s">
        <v>185</v>
      </c>
      <c r="D74" s="366" t="s">
        <v>185</v>
      </c>
      <c r="E74" s="366" t="s">
        <v>185</v>
      </c>
      <c r="F74" s="366" t="s">
        <v>185</v>
      </c>
      <c r="G74" s="366" t="s">
        <v>185</v>
      </c>
      <c r="H74" s="366" t="s">
        <v>185</v>
      </c>
      <c r="I74" s="345"/>
      <c r="J74" s="332" t="str">
        <f>IF(SUM(C77:H77)&gt;0,"bitte hier"," ")</f>
        <v xml:space="preserve"> </v>
      </c>
    </row>
    <row r="75" spans="1:10" x14ac:dyDescent="0.2">
      <c r="A75" s="916" t="s">
        <v>47</v>
      </c>
      <c r="B75" s="916"/>
      <c r="C75" s="264"/>
      <c r="D75" s="264"/>
      <c r="E75" s="264"/>
      <c r="F75" s="264"/>
      <c r="G75" s="264"/>
      <c r="H75" s="264"/>
      <c r="I75" s="311"/>
      <c r="J75" s="367" t="str">
        <f>IF(SUM(C77:H77)&gt;0,"eintragen"," ")</f>
        <v xml:space="preserve"> </v>
      </c>
    </row>
    <row r="76" spans="1:10" x14ac:dyDescent="0.2">
      <c r="A76" s="917" t="s">
        <v>38</v>
      </c>
      <c r="B76" s="917"/>
      <c r="C76" s="266"/>
      <c r="D76" s="266"/>
      <c r="E76" s="266"/>
      <c r="F76" s="266"/>
      <c r="G76" s="266"/>
      <c r="H76" s="266"/>
      <c r="I76" s="368" t="str">
        <f>IF(SUM(C77:H77)&gt;0,"Beginn d."," ")</f>
        <v xml:space="preserve"> </v>
      </c>
      <c r="J76" s="1052"/>
    </row>
    <row r="77" spans="1:10" x14ac:dyDescent="0.2">
      <c r="A77" s="918" t="s">
        <v>242</v>
      </c>
      <c r="B77" s="918"/>
      <c r="C77" s="369"/>
      <c r="D77" s="369"/>
      <c r="E77" s="369"/>
      <c r="F77" s="369"/>
      <c r="G77" s="369"/>
      <c r="H77" s="369"/>
      <c r="I77" s="370" t="str">
        <f>IF(SUM(C77:H77)&gt;0,"Selbständigkeit:"," ")</f>
        <v xml:space="preserve"> </v>
      </c>
      <c r="J77" s="1053"/>
    </row>
    <row r="78" spans="1:10" x14ac:dyDescent="0.2">
      <c r="A78" s="239"/>
      <c r="B78" s="239"/>
      <c r="C78" s="248"/>
      <c r="D78" s="248"/>
      <c r="E78" s="142" t="s">
        <v>48</v>
      </c>
      <c r="F78" s="83">
        <f>SUM(C77:H77)</f>
        <v>0</v>
      </c>
      <c r="G78" s="81" t="s">
        <v>49</v>
      </c>
      <c r="H78" s="83" t="e">
        <f>ROUND((F78/J81),2)</f>
        <v>#NUM!</v>
      </c>
      <c r="I78" s="411" t="str">
        <f>IF(SUM(C77:H77)&gt;0,"Ende d."," ")</f>
        <v xml:space="preserve"> </v>
      </c>
      <c r="J78" s="1048"/>
    </row>
    <row r="79" spans="1:10" x14ac:dyDescent="0.2">
      <c r="A79" s="921" t="s">
        <v>50</v>
      </c>
      <c r="B79" s="922"/>
      <c r="C79" s="297"/>
      <c r="D79" s="297"/>
      <c r="E79" s="297"/>
      <c r="F79" s="297"/>
      <c r="G79" s="297"/>
      <c r="H79" s="297"/>
      <c r="I79" s="370" t="str">
        <f>IF(SUM(C77:H77)&gt;0,"Selbständigkeit:"," ")</f>
        <v xml:space="preserve"> </v>
      </c>
      <c r="J79" s="1049"/>
    </row>
    <row r="80" spans="1:10" x14ac:dyDescent="0.2">
      <c r="A80" s="923" t="s">
        <v>51</v>
      </c>
      <c r="B80" s="924"/>
      <c r="C80" s="298"/>
      <c r="D80" s="298"/>
      <c r="E80" s="298"/>
      <c r="F80" s="298"/>
      <c r="G80" s="298"/>
      <c r="H80" s="298"/>
      <c r="I80" s="1054" t="str">
        <f>IF(SUM(C77:H77)&gt;0,"Format: Monat Jahr"," ")</f>
        <v xml:space="preserve"> </v>
      </c>
      <c r="J80" s="1055"/>
    </row>
    <row r="81" spans="1:10" x14ac:dyDescent="0.2">
      <c r="A81" s="925" t="s">
        <v>52</v>
      </c>
      <c r="B81" s="925"/>
      <c r="C81" s="371"/>
      <c r="D81" s="371"/>
      <c r="E81" s="371"/>
      <c r="F81" s="371"/>
      <c r="G81" s="371"/>
      <c r="H81" s="371"/>
      <c r="I81" s="198" t="e">
        <f>IF(J76&lt;MEG!C6,6,DATEDIF(J76,MEG!E6,"m")+1)</f>
        <v>#NUM!</v>
      </c>
      <c r="J81" s="199" t="e">
        <f>IF(J78=ISBLANK(0),I81,IF(J76=ISBLANK(0),I82,DATEDIF(I84,J84,"m")+1))</f>
        <v>#NUM!</v>
      </c>
    </row>
    <row r="82" spans="1:10" x14ac:dyDescent="0.2">
      <c r="A82" s="1056" t="s">
        <v>54</v>
      </c>
      <c r="B82" s="1056"/>
      <c r="C82" s="413"/>
      <c r="D82" s="413"/>
      <c r="E82" s="413"/>
      <c r="F82" s="413"/>
      <c r="G82" s="413"/>
      <c r="H82" s="413"/>
      <c r="I82" s="198" t="e">
        <f>IF(J78&lt;MEG!C6,6,DATEDIF(MEG!C6,J78,"m")+1)</f>
        <v>#NUM!</v>
      </c>
      <c r="J82" s="199"/>
    </row>
    <row r="83" spans="1:10" x14ac:dyDescent="0.2">
      <c r="A83" s="1057"/>
      <c r="B83" s="1057"/>
      <c r="C83" s="126" t="s">
        <v>48</v>
      </c>
      <c r="D83" s="83">
        <f>SUM(C81:H82)</f>
        <v>0</v>
      </c>
      <c r="E83" s="81" t="s">
        <v>49</v>
      </c>
      <c r="F83" s="83" t="e">
        <f>ROUND((D83/J81),2)</f>
        <v>#NUM!</v>
      </c>
      <c r="G83" s="90" t="s">
        <v>53</v>
      </c>
      <c r="H83" s="91" t="e">
        <f>IF((H78-F83)&lt;0,0,(H78-F83))</f>
        <v>#NUM!</v>
      </c>
      <c r="I83" s="81"/>
      <c r="J83" s="81"/>
    </row>
    <row r="84" spans="1:10" x14ac:dyDescent="0.2">
      <c r="A84" s="239"/>
      <c r="B84" s="292"/>
      <c r="C84" s="373"/>
      <c r="D84" s="373"/>
      <c r="E84" s="373"/>
      <c r="F84" s="373"/>
      <c r="G84" s="373"/>
      <c r="H84" s="374"/>
      <c r="I84" s="179" t="e">
        <f>IF(J76&lt;MEG!C6,MEG!C6,J76)</f>
        <v>#NUM!</v>
      </c>
      <c r="J84" s="179" t="e">
        <f>IF(J78&gt;MEG!E6,MEG!E6,J78)</f>
        <v>#NUM!</v>
      </c>
    </row>
    <row r="85" spans="1:10" x14ac:dyDescent="0.2">
      <c r="A85" s="925" t="s">
        <v>54</v>
      </c>
      <c r="B85" s="925"/>
      <c r="C85" s="302">
        <f t="shared" ref="C85:H85" si="13">SUM(C88,(C86*ROUND(C87,0)*0.2))</f>
        <v>0</v>
      </c>
      <c r="D85" s="302">
        <f t="shared" si="13"/>
        <v>0</v>
      </c>
      <c r="E85" s="302">
        <f t="shared" si="13"/>
        <v>0</v>
      </c>
      <c r="F85" s="302">
        <f t="shared" si="13"/>
        <v>0</v>
      </c>
      <c r="G85" s="302">
        <f t="shared" si="13"/>
        <v>0</v>
      </c>
      <c r="H85" s="302">
        <f t="shared" si="13"/>
        <v>0</v>
      </c>
      <c r="I85" s="203" t="e">
        <f>I84</f>
        <v>#NUM!</v>
      </c>
      <c r="J85" s="179" t="e">
        <f>IF(J78=ISBLANK(0),H73+1,J78)</f>
        <v>#NUM!</v>
      </c>
    </row>
    <row r="86" spans="1:10" x14ac:dyDescent="0.2">
      <c r="A86" s="927" t="s">
        <v>234</v>
      </c>
      <c r="B86" s="928"/>
      <c r="C86" s="375"/>
      <c r="D86" s="375"/>
      <c r="E86" s="375"/>
      <c r="F86" s="375"/>
      <c r="G86" s="375"/>
      <c r="H86" s="375"/>
      <c r="I86" s="202" t="e">
        <f>IF(I84&gt;C73,0,IF(J85&lt;C73,0,H83))</f>
        <v>#NUM!</v>
      </c>
      <c r="J86" s="81"/>
    </row>
    <row r="87" spans="1:10" x14ac:dyDescent="0.2">
      <c r="A87" s="927" t="s">
        <v>235</v>
      </c>
      <c r="B87" s="928"/>
      <c r="C87" s="375"/>
      <c r="D87" s="375"/>
      <c r="E87" s="375"/>
      <c r="F87" s="375"/>
      <c r="G87" s="375"/>
      <c r="H87" s="375"/>
      <c r="I87" s="202" t="e">
        <f>IF(I84&gt;D73,0,IF(J85&lt;D73,0,H83))</f>
        <v>#NUM!</v>
      </c>
      <c r="J87" s="81"/>
    </row>
    <row r="88" spans="1:10" x14ac:dyDescent="0.2">
      <c r="A88" s="929" t="s">
        <v>237</v>
      </c>
      <c r="B88" s="930"/>
      <c r="C88" s="372"/>
      <c r="D88" s="372"/>
      <c r="E88" s="372"/>
      <c r="F88" s="372"/>
      <c r="G88" s="372"/>
      <c r="H88" s="372"/>
      <c r="I88" s="202" t="e">
        <f>IF(I84&gt;E73,0,IF(J85&lt;E73,0,H83))</f>
        <v>#NUM!</v>
      </c>
      <c r="J88" s="81"/>
    </row>
    <row r="89" spans="1:10" x14ac:dyDescent="0.2">
      <c r="A89" s="926" t="s">
        <v>55</v>
      </c>
      <c r="B89" s="926"/>
      <c r="C89" s="305">
        <f t="shared" ref="C89:H89" si="14">C90*C91</f>
        <v>0</v>
      </c>
      <c r="D89" s="305">
        <f t="shared" si="14"/>
        <v>0</v>
      </c>
      <c r="E89" s="305">
        <f t="shared" si="14"/>
        <v>0</v>
      </c>
      <c r="F89" s="305">
        <f t="shared" si="14"/>
        <v>0</v>
      </c>
      <c r="G89" s="305">
        <f t="shared" si="14"/>
        <v>0</v>
      </c>
      <c r="H89" s="305">
        <f t="shared" si="14"/>
        <v>0</v>
      </c>
      <c r="I89" s="202" t="e">
        <f>IF(I84&gt;F73,0,IF(J85&lt;F73,0,H83))</f>
        <v>#NUM!</v>
      </c>
      <c r="J89" s="83"/>
    </row>
    <row r="90" spans="1:10" x14ac:dyDescent="0.2">
      <c r="A90" s="898" t="s">
        <v>238</v>
      </c>
      <c r="B90" s="899"/>
      <c r="C90" s="375"/>
      <c r="D90" s="375"/>
      <c r="E90" s="375"/>
      <c r="F90" s="375"/>
      <c r="G90" s="375"/>
      <c r="H90" s="375"/>
      <c r="I90" s="202" t="e">
        <f>IF(I84&gt;G73,0,IF(J85&lt;G73,0,H83))</f>
        <v>#NUM!</v>
      </c>
      <c r="J90" s="81"/>
    </row>
    <row r="91" spans="1:10" x14ac:dyDescent="0.2">
      <c r="A91" s="942" t="s">
        <v>239</v>
      </c>
      <c r="B91" s="943"/>
      <c r="C91" s="376"/>
      <c r="D91" s="376"/>
      <c r="E91" s="376"/>
      <c r="F91" s="376"/>
      <c r="G91" s="376"/>
      <c r="H91" s="376"/>
      <c r="I91" s="202" t="e">
        <f>IF(I84&gt;H73,0,IF(J85&lt;H73,0,H83))</f>
        <v>#NUM!</v>
      </c>
      <c r="J91" s="81"/>
    </row>
    <row r="92" spans="1:10" x14ac:dyDescent="0.2">
      <c r="A92" s="937" t="s">
        <v>236</v>
      </c>
      <c r="B92" s="938"/>
      <c r="C92" s="307"/>
      <c r="D92" s="307"/>
      <c r="E92" s="307"/>
      <c r="F92" s="307"/>
      <c r="G92" s="307"/>
      <c r="H92" s="307"/>
      <c r="I92" s="356"/>
      <c r="J92" s="83"/>
    </row>
    <row r="93" spans="1:10" x14ac:dyDescent="0.2">
      <c r="A93" s="903" t="s">
        <v>56</v>
      </c>
      <c r="B93" s="903"/>
      <c r="C93" s="307"/>
      <c r="D93" s="307"/>
      <c r="E93" s="307"/>
      <c r="F93" s="307"/>
      <c r="G93" s="307"/>
      <c r="H93" s="307"/>
      <c r="I93" s="311"/>
      <c r="J93" s="294"/>
    </row>
    <row r="94" spans="1:10" x14ac:dyDescent="0.2">
      <c r="A94" s="903" t="s">
        <v>57</v>
      </c>
      <c r="B94" s="903"/>
      <c r="C94" s="307"/>
      <c r="D94" s="307"/>
      <c r="E94" s="307"/>
      <c r="F94" s="307"/>
      <c r="G94" s="307"/>
      <c r="H94" s="307"/>
      <c r="I94" s="311"/>
      <c r="J94" s="294"/>
    </row>
    <row r="95" spans="1:10" x14ac:dyDescent="0.2">
      <c r="A95" s="903" t="s">
        <v>58</v>
      </c>
      <c r="B95" s="903"/>
      <c r="C95" s="308"/>
      <c r="D95" s="308"/>
      <c r="E95" s="308"/>
      <c r="F95" s="308"/>
      <c r="G95" s="308"/>
      <c r="H95" s="308"/>
      <c r="I95" s="311"/>
      <c r="J95" s="294"/>
    </row>
    <row r="96" spans="1:10" x14ac:dyDescent="0.2">
      <c r="A96" s="239"/>
      <c r="B96" s="239"/>
      <c r="C96" s="93" t="e">
        <f>C75+I86</f>
        <v>#NUM!</v>
      </c>
      <c r="D96" s="93" t="e">
        <f>D75+I87</f>
        <v>#NUM!</v>
      </c>
      <c r="E96" s="93" t="e">
        <f>E75+I88</f>
        <v>#NUM!</v>
      </c>
      <c r="F96" s="93" t="e">
        <f>F75+I89</f>
        <v>#NUM!</v>
      </c>
      <c r="G96" s="93" t="e">
        <f>G75+I90</f>
        <v>#NUM!</v>
      </c>
      <c r="H96" s="93" t="e">
        <f>H75+I91</f>
        <v>#NUM!</v>
      </c>
      <c r="I96" s="239"/>
      <c r="J96" s="239"/>
    </row>
    <row r="97" spans="1:10" x14ac:dyDescent="0.2">
      <c r="A97" s="903" t="s">
        <v>59</v>
      </c>
      <c r="B97" s="903"/>
      <c r="C97" s="287" t="e">
        <f>IF(C74="ja",Grundfreibeträge!G46,Grundfreibeträge!F46)</f>
        <v>#NUM!</v>
      </c>
      <c r="D97" s="287" t="e">
        <f>IF(D74="ja",Grundfreibeträge!G47,Grundfreibeträge!F47)</f>
        <v>#NUM!</v>
      </c>
      <c r="E97" s="287" t="e">
        <f>IF(E74="ja",Grundfreibeträge!G48,Grundfreibeträge!F48)</f>
        <v>#NUM!</v>
      </c>
      <c r="F97" s="287" t="e">
        <f>IF(F74="ja",Grundfreibeträge!G49,Grundfreibeträge!F49)</f>
        <v>#NUM!</v>
      </c>
      <c r="G97" s="287" t="e">
        <f>IF(G74="ja",Grundfreibeträge!G50,Grundfreibeträge!F50)</f>
        <v>#NUM!</v>
      </c>
      <c r="H97" s="287" t="e">
        <f>IF(H74="ja",Grundfreibeträge!G51,Grundfreibeträge!F51)</f>
        <v>#NUM!</v>
      </c>
      <c r="I97" s="239"/>
      <c r="J97" s="239"/>
    </row>
    <row r="98" spans="1:10" x14ac:dyDescent="0.2">
      <c r="A98" s="937" t="s">
        <v>597</v>
      </c>
      <c r="B98" s="938"/>
      <c r="C98" s="287" t="e">
        <f>MAX((MIN(C96,520)-C97)*0.2,0)</f>
        <v>#NUM!</v>
      </c>
      <c r="D98" s="287" t="e">
        <f t="shared" ref="D98:H98" si="15">MAX((MIN(D96,520)-D97)*0.2,0)</f>
        <v>#NUM!</v>
      </c>
      <c r="E98" s="287" t="e">
        <f t="shared" si="15"/>
        <v>#NUM!</v>
      </c>
      <c r="F98" s="287" t="e">
        <f t="shared" si="15"/>
        <v>#NUM!</v>
      </c>
      <c r="G98" s="287" t="e">
        <f t="shared" si="15"/>
        <v>#NUM!</v>
      </c>
      <c r="H98" s="287" t="e">
        <f t="shared" si="15"/>
        <v>#NUM!</v>
      </c>
      <c r="I98" s="778"/>
      <c r="J98" s="778"/>
    </row>
    <row r="99" spans="1:10" x14ac:dyDescent="0.2">
      <c r="A99" s="903" t="s">
        <v>60</v>
      </c>
      <c r="B99" s="903"/>
      <c r="C99" s="287" t="e">
        <f>MAX(MIN(C96-520,480)*0.3,0)</f>
        <v>#NUM!</v>
      </c>
      <c r="D99" s="287" t="e">
        <f t="shared" ref="D99:H99" si="16">MAX(MIN(D96-520,480)*0.3,0)</f>
        <v>#NUM!</v>
      </c>
      <c r="E99" s="287" t="e">
        <f t="shared" si="16"/>
        <v>#NUM!</v>
      </c>
      <c r="F99" s="287" t="e">
        <f t="shared" si="16"/>
        <v>#NUM!</v>
      </c>
      <c r="G99" s="287" t="e">
        <f t="shared" si="16"/>
        <v>#NUM!</v>
      </c>
      <c r="H99" s="287" t="e">
        <f t="shared" si="16"/>
        <v>#NUM!</v>
      </c>
      <c r="I99" s="239"/>
      <c r="J99" s="239"/>
    </row>
    <row r="100" spans="1:10" x14ac:dyDescent="0.2">
      <c r="A100" s="903" t="s">
        <v>61</v>
      </c>
      <c r="B100" s="903"/>
      <c r="C100" s="287" t="e">
        <f>IF(Grundfreibeträge!Q6="Kind ü18",Grundfreibeträge!H46,IF(C96&lt;1000,0,IF(C96&gt;=1500,50,ROUND((C96-1000)*10%,2))))</f>
        <v>#NUM!</v>
      </c>
      <c r="D100" s="287" t="e">
        <f>IF(Grundfreibeträge!Q6="Kind ü18",Grundfreibeträge!H47,IF(D96&lt;1000,0,IF(D96&gt;=1500,50,ROUND((D96-1000)*10%,2))))</f>
        <v>#NUM!</v>
      </c>
      <c r="E100" s="287" t="e">
        <f>IF(Grundfreibeträge!Q6="Kind ü18",Grundfreibeträge!H48,IF(E96&lt;1000,0,IF(E96&gt;=1500,50,ROUND((E96-1000)*10%,2))))</f>
        <v>#NUM!</v>
      </c>
      <c r="F100" s="287" t="e">
        <f>IF(Grundfreibeträge!Q6="Kind ü18",Grundfreibeträge!H49,IF(F96&lt;1000,0,IF(F96&gt;=1500,50,ROUND((F96-1000)*10%,2))))</f>
        <v>#NUM!</v>
      </c>
      <c r="G100" s="287" t="e">
        <f>IF(Grundfreibeträge!Q6="Kind ü18",Grundfreibeträge!H50,IF(G96&lt;1000,0,IF(G96&gt;=1500,50,ROUND((G96-1000)*10%,2))))</f>
        <v>#NUM!</v>
      </c>
      <c r="H100" s="287" t="e">
        <f>IF(Grundfreibeträge!Q6="Kind ü18",Grundfreibeträge!H51,IF(H96&lt;1000,0,IF(H96&gt;=1500,50,ROUND((H96-1000)*10%,2))))</f>
        <v>#NUM!</v>
      </c>
      <c r="I100" s="288" t="s">
        <v>48</v>
      </c>
      <c r="J100" s="239"/>
    </row>
    <row r="101" spans="1:10" x14ac:dyDescent="0.2">
      <c r="A101" s="903" t="s">
        <v>62</v>
      </c>
      <c r="B101" s="903"/>
      <c r="C101" s="287" t="e">
        <f>IF(C96=0,0,MAX(C96-C79-C97-C98-C99-C100,0))</f>
        <v>#NUM!</v>
      </c>
      <c r="D101" s="287" t="e">
        <f t="shared" ref="D101:H101" si="17">IF(D96=0,0,MAX(D96-D79-D97-D98-D99-D100,0))</f>
        <v>#NUM!</v>
      </c>
      <c r="E101" s="287" t="e">
        <f t="shared" si="17"/>
        <v>#NUM!</v>
      </c>
      <c r="F101" s="287" t="e">
        <f t="shared" si="17"/>
        <v>#NUM!</v>
      </c>
      <c r="G101" s="287" t="e">
        <f t="shared" si="17"/>
        <v>#NUM!</v>
      </c>
      <c r="H101" s="287" t="e">
        <f t="shared" si="17"/>
        <v>#NUM!</v>
      </c>
      <c r="I101" s="287" t="e">
        <f>SUM(C101:H101)</f>
        <v>#NUM!</v>
      </c>
      <c r="J101" s="239"/>
    </row>
    <row r="102" spans="1:10" x14ac:dyDescent="0.2">
      <c r="A102" s="239"/>
      <c r="B102" s="312"/>
      <c r="C102" s="83" t="e">
        <f>C75+C76+I86</f>
        <v>#NUM!</v>
      </c>
      <c r="D102" s="83" t="e">
        <f>D75+D76+I87</f>
        <v>#NUM!</v>
      </c>
      <c r="E102" s="83" t="e">
        <f>E75+E76+I88</f>
        <v>#NUM!</v>
      </c>
      <c r="F102" s="83" t="e">
        <f>F75+F76+I89</f>
        <v>#NUM!</v>
      </c>
      <c r="G102" s="83" t="e">
        <f>G75+G76+I90</f>
        <v>#NUM!</v>
      </c>
      <c r="H102" s="83" t="e">
        <f>H75+H76+I91</f>
        <v>#NUM!</v>
      </c>
      <c r="I102" s="294"/>
      <c r="J102" s="239"/>
    </row>
    <row r="103" spans="1:10" ht="15" x14ac:dyDescent="0.25">
      <c r="A103" s="239"/>
      <c r="B103" s="239"/>
      <c r="C103" s="83" t="e">
        <f t="shared" ref="C103:H103" si="18">IF(C102=0,0,IF(C102&lt;=100,0,IF(C102&lt;=1000,(C102-100)*20%,IF(C102&gt;1000,180))))</f>
        <v>#NUM!</v>
      </c>
      <c r="D103" s="83" t="e">
        <f t="shared" si="18"/>
        <v>#NUM!</v>
      </c>
      <c r="E103" s="83" t="e">
        <f t="shared" si="18"/>
        <v>#NUM!</v>
      </c>
      <c r="F103" s="83" t="e">
        <f t="shared" si="18"/>
        <v>#NUM!</v>
      </c>
      <c r="G103" s="83" t="e">
        <f t="shared" si="18"/>
        <v>#NUM!</v>
      </c>
      <c r="H103" s="83" t="e">
        <f t="shared" si="18"/>
        <v>#NUM!</v>
      </c>
      <c r="I103" s="313"/>
      <c r="J103" s="239"/>
    </row>
    <row r="104" spans="1:10" ht="15" x14ac:dyDescent="0.25">
      <c r="A104" s="909" t="s">
        <v>63</v>
      </c>
      <c r="B104" s="909"/>
      <c r="C104" s="97" t="e">
        <f t="shared" ref="C104:H104" si="19">IF(C102&lt;1000,0,IF(C102&gt;=1500,50,ROUND((C102-1000)*10%,2)))</f>
        <v>#NUM!</v>
      </c>
      <c r="D104" s="97" t="e">
        <f t="shared" si="19"/>
        <v>#NUM!</v>
      </c>
      <c r="E104" s="97" t="e">
        <f t="shared" si="19"/>
        <v>#NUM!</v>
      </c>
      <c r="F104" s="97" t="e">
        <f t="shared" si="19"/>
        <v>#NUM!</v>
      </c>
      <c r="G104" s="97" t="e">
        <f t="shared" si="19"/>
        <v>#NUM!</v>
      </c>
      <c r="H104" s="97" t="e">
        <f t="shared" si="19"/>
        <v>#NUM!</v>
      </c>
      <c r="I104" s="313"/>
      <c r="J104" s="239"/>
    </row>
    <row r="105" spans="1:10" x14ac:dyDescent="0.2">
      <c r="A105" s="908" t="s">
        <v>64</v>
      </c>
      <c r="B105" s="908"/>
      <c r="C105" s="296">
        <f t="shared" ref="C105:H105" si="20">IF(C76=0,0,(C103+C104)-(C99+C100))</f>
        <v>0</v>
      </c>
      <c r="D105" s="296">
        <f t="shared" si="20"/>
        <v>0</v>
      </c>
      <c r="E105" s="296">
        <f t="shared" si="20"/>
        <v>0</v>
      </c>
      <c r="F105" s="296">
        <f t="shared" si="20"/>
        <v>0</v>
      </c>
      <c r="G105" s="296">
        <f t="shared" si="20"/>
        <v>0</v>
      </c>
      <c r="H105" s="296">
        <f t="shared" si="20"/>
        <v>0</v>
      </c>
      <c r="I105" s="314" t="s">
        <v>48</v>
      </c>
      <c r="J105" s="239"/>
    </row>
    <row r="106" spans="1:10" x14ac:dyDescent="0.2">
      <c r="A106" s="810" t="s">
        <v>65</v>
      </c>
      <c r="B106" s="810"/>
      <c r="C106" s="287">
        <f t="shared" ref="C106:H106" si="21">IF(C76=0,0,IF(AND(C76&gt;0,C96&gt;0),C76-C80-C105,IF(C76-C80-C105-C97&lt;0,0,C76-C80-C105-C97)))</f>
        <v>0</v>
      </c>
      <c r="D106" s="287">
        <f t="shared" si="21"/>
        <v>0</v>
      </c>
      <c r="E106" s="287">
        <f t="shared" si="21"/>
        <v>0</v>
      </c>
      <c r="F106" s="287">
        <f t="shared" si="21"/>
        <v>0</v>
      </c>
      <c r="G106" s="287">
        <f t="shared" si="21"/>
        <v>0</v>
      </c>
      <c r="H106" s="287">
        <f t="shared" si="21"/>
        <v>0</v>
      </c>
      <c r="I106" s="287">
        <f>SUM(C106:H106)</f>
        <v>0</v>
      </c>
      <c r="J106" s="239"/>
    </row>
    <row r="107" spans="1:10" x14ac:dyDescent="0.2">
      <c r="A107" s="239"/>
      <c r="B107" s="239"/>
      <c r="C107" s="239"/>
      <c r="D107" s="239"/>
      <c r="E107" s="239"/>
      <c r="F107" s="239"/>
      <c r="G107" s="239"/>
      <c r="H107" s="239"/>
      <c r="I107" s="239"/>
      <c r="J107" s="239"/>
    </row>
    <row r="108" spans="1:10" x14ac:dyDescent="0.2">
      <c r="A108" s="239"/>
      <c r="B108" s="239"/>
      <c r="C108" s="239"/>
      <c r="D108" s="239"/>
      <c r="E108" s="239"/>
      <c r="F108" s="239"/>
      <c r="G108" s="239"/>
      <c r="H108" s="239"/>
      <c r="I108" s="239"/>
      <c r="J108" s="239"/>
    </row>
    <row r="109" spans="1:10" x14ac:dyDescent="0.2">
      <c r="A109" s="239"/>
      <c r="B109" s="239"/>
      <c r="C109" s="239"/>
      <c r="D109" s="239"/>
      <c r="E109" s="239"/>
      <c r="F109" s="239"/>
      <c r="G109" s="239"/>
      <c r="H109" s="239"/>
      <c r="I109" s="239"/>
      <c r="J109" s="239"/>
    </row>
    <row r="110" spans="1:10" ht="15" x14ac:dyDescent="0.25">
      <c r="A110" s="239"/>
      <c r="B110" s="944" t="s">
        <v>80</v>
      </c>
      <c r="C110" s="945"/>
      <c r="D110" s="946"/>
      <c r="E110" s="350" t="s">
        <v>48</v>
      </c>
      <c r="F110" s="377" t="s">
        <v>49</v>
      </c>
      <c r="G110" s="239"/>
      <c r="H110" s="239"/>
      <c r="I110" s="239"/>
      <c r="J110" s="239"/>
    </row>
    <row r="111" spans="1:10" x14ac:dyDescent="0.2">
      <c r="A111" s="239"/>
      <c r="B111" s="947" t="s">
        <v>81</v>
      </c>
      <c r="C111" s="948"/>
      <c r="D111" s="949"/>
      <c r="E111" s="352" t="e">
        <f>I101+I106</f>
        <v>#NUM!</v>
      </c>
      <c r="F111" s="352" t="e">
        <f>E111/6</f>
        <v>#NUM!</v>
      </c>
      <c r="G111" s="239"/>
      <c r="H111" s="239"/>
      <c r="I111" s="239"/>
      <c r="J111" s="239"/>
    </row>
    <row r="112" spans="1:10" x14ac:dyDescent="0.2">
      <c r="A112" s="239"/>
      <c r="B112" s="947" t="s">
        <v>82</v>
      </c>
      <c r="C112" s="948"/>
      <c r="D112" s="949"/>
      <c r="E112" s="352">
        <f>I64</f>
        <v>0</v>
      </c>
      <c r="F112" s="352">
        <f>E112/6</f>
        <v>0</v>
      </c>
      <c r="G112" s="239"/>
      <c r="H112" s="239"/>
      <c r="I112" s="239"/>
      <c r="J112" s="239"/>
    </row>
    <row r="113" spans="1:10" ht="15" x14ac:dyDescent="0.25">
      <c r="A113" s="239"/>
      <c r="B113" s="239"/>
      <c r="C113" s="239"/>
      <c r="D113" s="239"/>
      <c r="E113" s="378" t="s">
        <v>84</v>
      </c>
      <c r="F113" s="353" t="e">
        <f>F111+F112</f>
        <v>#NUM!</v>
      </c>
      <c r="G113" s="239"/>
      <c r="H113" s="239"/>
      <c r="I113" s="239"/>
      <c r="J113" s="239"/>
    </row>
    <row r="114" spans="1:10" x14ac:dyDescent="0.2">
      <c r="A114" s="239"/>
      <c r="B114" s="239"/>
      <c r="C114" s="239"/>
      <c r="D114" s="239"/>
      <c r="E114" s="239"/>
      <c r="F114" s="239"/>
      <c r="G114" s="239"/>
      <c r="H114" s="239"/>
      <c r="I114" s="239"/>
      <c r="J114" s="239"/>
    </row>
    <row r="115" spans="1:10" x14ac:dyDescent="0.2">
      <c r="A115" s="239"/>
      <c r="B115" s="239"/>
      <c r="C115" s="239"/>
      <c r="D115" s="239"/>
      <c r="E115" s="239"/>
      <c r="F115" s="239"/>
      <c r="G115" s="239"/>
      <c r="H115" s="239"/>
      <c r="I115" s="239"/>
      <c r="J115" s="239"/>
    </row>
    <row r="116" spans="1:10" x14ac:dyDescent="0.2">
      <c r="A116" s="239"/>
      <c r="B116" s="239"/>
      <c r="C116" s="239"/>
      <c r="D116" s="239"/>
      <c r="E116" s="239"/>
      <c r="F116" s="239"/>
      <c r="G116" s="239"/>
      <c r="H116" s="239"/>
      <c r="I116" s="239"/>
      <c r="J116" s="239"/>
    </row>
    <row r="117" spans="1:10" x14ac:dyDescent="0.2">
      <c r="A117" s="239"/>
      <c r="B117" s="239"/>
      <c r="C117" s="239"/>
      <c r="D117" s="239"/>
      <c r="E117" s="239"/>
      <c r="F117" s="239"/>
      <c r="G117" s="239"/>
      <c r="H117" s="239"/>
      <c r="I117" s="239"/>
      <c r="J117" s="239"/>
    </row>
    <row r="118" spans="1:10" x14ac:dyDescent="0.2">
      <c r="A118" s="239"/>
      <c r="B118" s="239"/>
      <c r="C118" s="239"/>
      <c r="D118" s="239"/>
      <c r="E118" s="239"/>
      <c r="F118" s="239"/>
      <c r="G118" s="239"/>
      <c r="H118" s="239"/>
      <c r="I118" s="239"/>
      <c r="J118" s="239"/>
    </row>
    <row r="119" spans="1:10" x14ac:dyDescent="0.2">
      <c r="A119" s="239"/>
      <c r="B119" s="239"/>
      <c r="C119" s="239"/>
      <c r="D119" s="239"/>
      <c r="E119" s="239"/>
      <c r="F119" s="1058" t="s">
        <v>85</v>
      </c>
      <c r="G119" s="1058"/>
      <c r="H119" s="379"/>
      <c r="I119" s="239"/>
      <c r="J119" s="239"/>
    </row>
    <row r="120" spans="1:10" x14ac:dyDescent="0.2">
      <c r="A120" s="239"/>
      <c r="B120" s="239"/>
      <c r="C120" s="239"/>
      <c r="D120" s="239"/>
      <c r="E120" s="239"/>
      <c r="F120" s="1059" t="s">
        <v>86</v>
      </c>
      <c r="G120" s="1059"/>
      <c r="H120" s="380"/>
      <c r="I120" s="239"/>
      <c r="J120" s="239"/>
    </row>
    <row r="121" spans="1:10" ht="15" x14ac:dyDescent="0.25">
      <c r="A121" s="239"/>
      <c r="B121" s="239"/>
      <c r="C121" s="239"/>
      <c r="D121" s="239"/>
      <c r="E121" s="239"/>
      <c r="F121" s="1060" t="s">
        <v>87</v>
      </c>
      <c r="G121" s="1060"/>
      <c r="H121" s="381" t="e">
        <f>IF(Kurzantrag!C18&gt;0,Kurzantrag!C18,ROUND(F113*45%,2))</f>
        <v>#NUM!</v>
      </c>
      <c r="I121" s="239"/>
      <c r="J121" s="239"/>
    </row>
    <row r="122" spans="1:10" x14ac:dyDescent="0.2">
      <c r="A122" s="239"/>
      <c r="B122" s="239"/>
      <c r="C122" s="239"/>
      <c r="D122" s="239"/>
      <c r="E122" s="239"/>
      <c r="F122" s="239"/>
      <c r="G122" s="239"/>
      <c r="H122" s="239"/>
      <c r="I122" s="239"/>
      <c r="J122" s="239"/>
    </row>
    <row r="123" spans="1:10" x14ac:dyDescent="0.2">
      <c r="A123" s="322"/>
      <c r="B123" s="322"/>
      <c r="C123" s="322"/>
      <c r="D123" s="322"/>
      <c r="E123" s="322"/>
      <c r="F123" s="322"/>
      <c r="G123" s="322"/>
      <c r="H123" s="322"/>
      <c r="I123" s="322"/>
      <c r="J123" s="322"/>
    </row>
    <row r="124" spans="1:10" x14ac:dyDescent="0.2">
      <c r="A124" s="239"/>
      <c r="B124" s="239"/>
      <c r="C124" s="239"/>
      <c r="D124" s="239"/>
      <c r="E124" s="239"/>
      <c r="F124" s="239"/>
      <c r="G124" s="239"/>
      <c r="H124" s="239"/>
      <c r="I124" s="239"/>
      <c r="J124" s="239"/>
    </row>
    <row r="125" spans="1:10" x14ac:dyDescent="0.2">
      <c r="A125" s="127"/>
      <c r="B125" s="127"/>
      <c r="C125" s="127"/>
      <c r="D125" s="127"/>
      <c r="E125" s="127"/>
      <c r="F125" s="127"/>
      <c r="G125" s="127"/>
      <c r="H125" s="127"/>
      <c r="I125" s="127"/>
      <c r="J125" s="127"/>
    </row>
    <row r="126" spans="1:10" x14ac:dyDescent="0.2">
      <c r="A126" s="127"/>
      <c r="B126" s="127"/>
      <c r="C126" s="127"/>
      <c r="D126" s="127"/>
      <c r="E126" s="127"/>
      <c r="F126" s="127"/>
      <c r="G126" s="127"/>
      <c r="H126" s="127"/>
      <c r="I126" s="127"/>
      <c r="J126" s="127"/>
    </row>
    <row r="127" spans="1:10" x14ac:dyDescent="0.2">
      <c r="A127" s="127"/>
      <c r="B127" s="127"/>
      <c r="C127" s="127"/>
      <c r="D127" s="127"/>
      <c r="E127" s="127"/>
      <c r="F127" s="127"/>
      <c r="G127" s="127"/>
      <c r="H127" s="127"/>
      <c r="I127" s="127"/>
      <c r="J127" s="127"/>
    </row>
    <row r="128" spans="1:10" x14ac:dyDescent="0.2">
      <c r="A128" s="2"/>
      <c r="B128" s="2"/>
      <c r="C128" s="2"/>
      <c r="D128" s="2"/>
      <c r="E128" s="2"/>
      <c r="F128" s="2"/>
      <c r="G128" s="2"/>
      <c r="H128" s="2"/>
      <c r="I128" s="2"/>
      <c r="J128" s="2"/>
    </row>
    <row r="129" spans="1:10" x14ac:dyDescent="0.2">
      <c r="A129" s="2"/>
      <c r="B129" s="2"/>
      <c r="C129" s="2"/>
      <c r="D129" s="2"/>
      <c r="E129" s="2"/>
      <c r="F129" s="2"/>
      <c r="G129" s="2"/>
      <c r="H129" s="2"/>
      <c r="I129" s="2"/>
      <c r="J129" s="2"/>
    </row>
    <row r="130" spans="1:10" x14ac:dyDescent="0.2">
      <c r="A130" s="2"/>
      <c r="B130" s="2"/>
      <c r="C130" s="2"/>
      <c r="D130" s="2"/>
      <c r="E130" s="2"/>
      <c r="F130" s="2"/>
      <c r="G130" s="2"/>
      <c r="H130" s="2"/>
      <c r="I130" s="2"/>
      <c r="J130" s="2"/>
    </row>
    <row r="131" spans="1:10" x14ac:dyDescent="0.2">
      <c r="A131" s="2"/>
      <c r="B131" s="2"/>
      <c r="C131" s="2"/>
      <c r="D131" s="2"/>
      <c r="E131" s="2"/>
      <c r="F131" s="2"/>
      <c r="G131" s="2"/>
      <c r="H131" s="2"/>
      <c r="I131" s="2"/>
      <c r="J131" s="2"/>
    </row>
    <row r="132" spans="1:10" x14ac:dyDescent="0.2">
      <c r="A132" s="2"/>
      <c r="B132" s="2"/>
      <c r="C132" s="2"/>
      <c r="D132" s="2"/>
      <c r="E132" s="2"/>
      <c r="F132" s="2"/>
      <c r="G132" s="2"/>
      <c r="H132" s="2"/>
      <c r="I132" s="2"/>
      <c r="J132" s="2"/>
    </row>
    <row r="133" spans="1:10" x14ac:dyDescent="0.2">
      <c r="A133" s="2"/>
      <c r="B133" s="2"/>
      <c r="C133" s="2"/>
      <c r="D133" s="2"/>
      <c r="E133" s="2"/>
      <c r="F133" s="2"/>
      <c r="G133" s="2"/>
      <c r="H133" s="2"/>
      <c r="I133" s="2"/>
      <c r="J133" s="2"/>
    </row>
  </sheetData>
  <sheetProtection algorithmName="SHA-512" hashValue="pqDn0ozJvsfBuOUextcY3UwrKkxbodC8EHsnHVdk3ilK0lRipS7CrxIlNBz52/fyqSfj69F3s5a06w8cHWE52A==" saltValue="RtdkzdAVKkXQb7oYwsOG0Q==" spinCount="100000" sheet="1" formatCells="0" formatColumns="0" formatRows="0" insertColumns="0" insertRows="0" insertHyperlinks="0" deleteColumns="0" deleteRows="0" sort="0" autoFilter="0" pivotTables="0"/>
  <mergeCells count="85">
    <mergeCell ref="B111:D111"/>
    <mergeCell ref="B112:D112"/>
    <mergeCell ref="F119:G119"/>
    <mergeCell ref="F120:G120"/>
    <mergeCell ref="F121:G121"/>
    <mergeCell ref="B110:D110"/>
    <mergeCell ref="A92:B92"/>
    <mergeCell ref="A93:B93"/>
    <mergeCell ref="A94:B94"/>
    <mergeCell ref="A95:B95"/>
    <mergeCell ref="A97:B97"/>
    <mergeCell ref="A99:B99"/>
    <mergeCell ref="A100:B100"/>
    <mergeCell ref="A101:B101"/>
    <mergeCell ref="A104:B104"/>
    <mergeCell ref="A105:B105"/>
    <mergeCell ref="A106:B106"/>
    <mergeCell ref="A98:B98"/>
    <mergeCell ref="A91:B91"/>
    <mergeCell ref="A80:B80"/>
    <mergeCell ref="I80:J80"/>
    <mergeCell ref="A81:B81"/>
    <mergeCell ref="A82:B82"/>
    <mergeCell ref="A83:B83"/>
    <mergeCell ref="A85:B85"/>
    <mergeCell ref="A86:B86"/>
    <mergeCell ref="A87:B87"/>
    <mergeCell ref="A88:B88"/>
    <mergeCell ref="A89:B89"/>
    <mergeCell ref="A90:B90"/>
    <mergeCell ref="J78:J79"/>
    <mergeCell ref="A79:B79"/>
    <mergeCell ref="A57:B57"/>
    <mergeCell ref="A58:B58"/>
    <mergeCell ref="A59:B59"/>
    <mergeCell ref="A60:B60"/>
    <mergeCell ref="C72:H72"/>
    <mergeCell ref="A73:B73"/>
    <mergeCell ref="A74:B74"/>
    <mergeCell ref="A75:B75"/>
    <mergeCell ref="A76:B76"/>
    <mergeCell ref="J76:J77"/>
    <mergeCell ref="A77:B77"/>
    <mergeCell ref="A56:B56"/>
    <mergeCell ref="A43:B43"/>
    <mergeCell ref="A44:B44"/>
    <mergeCell ref="A45:B45"/>
    <mergeCell ref="A46:B46"/>
    <mergeCell ref="A47:B47"/>
    <mergeCell ref="A48:B48"/>
    <mergeCell ref="A49:B49"/>
    <mergeCell ref="A50:B50"/>
    <mergeCell ref="A51:B51"/>
    <mergeCell ref="A52:B52"/>
    <mergeCell ref="A53:B53"/>
    <mergeCell ref="A42:B42"/>
    <mergeCell ref="A25:B25"/>
    <mergeCell ref="A26:B26"/>
    <mergeCell ref="A27:B27"/>
    <mergeCell ref="A29:B29"/>
    <mergeCell ref="B30:C30"/>
    <mergeCell ref="B31:C31"/>
    <mergeCell ref="B32:C32"/>
    <mergeCell ref="A37:B37"/>
    <mergeCell ref="A38:B38"/>
    <mergeCell ref="A39:B39"/>
    <mergeCell ref="A41:B41"/>
    <mergeCell ref="A24:B24"/>
    <mergeCell ref="A9:B9"/>
    <mergeCell ref="A10:B10"/>
    <mergeCell ref="A11:B11"/>
    <mergeCell ref="A13:B13"/>
    <mergeCell ref="A14:B14"/>
    <mergeCell ref="A15:B15"/>
    <mergeCell ref="A16:B16"/>
    <mergeCell ref="A18:B18"/>
    <mergeCell ref="A20:B20"/>
    <mergeCell ref="A21:B21"/>
    <mergeCell ref="A22:B22"/>
    <mergeCell ref="A8:B8"/>
    <mergeCell ref="C1:H1"/>
    <mergeCell ref="A3:B3"/>
    <mergeCell ref="A4:B4"/>
    <mergeCell ref="A5:B5"/>
    <mergeCell ref="A6:B6"/>
  </mergeCells>
  <dataValidations count="3">
    <dataValidation type="list" allowBlank="1" showInputMessage="1" showErrorMessage="1" sqref="C74:H74" xr:uid="{00000000-0002-0000-0C00-000000000000}">
      <formula1>".,ja,nein"</formula1>
    </dataValidation>
    <dataValidation type="decimal" allowBlank="1" showInputMessage="1" showErrorMessage="1" error="Der eingegebene Wert ist unzulässig. Bitte geben Sie eine Zahl ein, die größer 0 ist." sqref="C3:H6 C8:H11 C13:H16 C18:H22 C24:H27 C38:H39 C41:H41 C43:H45 C47:H49 C52:H53 C57:H59 C75:H77 C79:H82 C86:H88 C90:H95" xr:uid="{00000000-0002-0000-0C00-000001000000}">
      <formula1>0</formula1>
      <formula2>1000000</formula2>
    </dataValidation>
    <dataValidation allowBlank="1" showInputMessage="1" showErrorMessage="1" prompt="Bitte geben Sie das Datum im Format Monat Jahr ein (z.B. Beginn August 2012 = Aug 12)." sqref="J76:J79" xr:uid="{00000000-0002-0000-0C00-000002000000}"/>
  </dataValidations>
  <pageMargins left="0.70866141732283472" right="0.70866141732283472" top="0.8666666666666667" bottom="0.78740157480314965" header="0.31496062992125984" footer="0.31496062992125984"/>
  <pageSetup paperSize="9" scale="96" orientation="landscape" r:id="rId1"/>
  <headerFooter>
    <oddHeader>&amp;L&amp;"Arial,Fett"&amp;U4. Ermittlung des anzurechnenden Einkommens des Kindes / der Kinder:
4.1. Einkommensermittlung Kind 7:&amp;R&amp;D</oddHeader>
    <oddFooter>&amp;R&amp;P</oddFooter>
  </headerFooter>
  <rowBreaks count="3" manualBreakCount="3">
    <brk id="31" max="16383" man="1"/>
    <brk id="67" max="16383" man="1"/>
    <brk id="103"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8"/>
  <dimension ref="A1:J131"/>
  <sheetViews>
    <sheetView showGridLines="0" zoomScaleNormal="100" workbookViewId="0">
      <selection activeCell="C18" sqref="C18"/>
    </sheetView>
  </sheetViews>
  <sheetFormatPr baseColWidth="10" defaultRowHeight="14.25" x14ac:dyDescent="0.2"/>
  <cols>
    <col min="1" max="16384" width="11" style="1"/>
  </cols>
  <sheetData>
    <row r="1" spans="1:10" ht="15" x14ac:dyDescent="0.25">
      <c r="A1" s="313"/>
      <c r="B1" s="240"/>
      <c r="C1" s="914" t="s">
        <v>251</v>
      </c>
      <c r="D1" s="914"/>
      <c r="E1" s="914"/>
      <c r="F1" s="914"/>
      <c r="G1" s="914"/>
      <c r="H1" s="914"/>
      <c r="I1" s="239"/>
      <c r="J1" s="239"/>
    </row>
    <row r="2" spans="1:10" ht="15" x14ac:dyDescent="0.25">
      <c r="A2" s="407" t="s">
        <v>29</v>
      </c>
      <c r="B2" s="408"/>
      <c r="C2" s="255" t="e">
        <f>EDATE(BG!D2,-6)</f>
        <v>#NUM!</v>
      </c>
      <c r="D2" s="255" t="e">
        <f>EDATE(BG!D2,-5)</f>
        <v>#NUM!</v>
      </c>
      <c r="E2" s="255" t="e">
        <f>EDATE(BG!D2,-4)</f>
        <v>#NUM!</v>
      </c>
      <c r="F2" s="255" t="e">
        <f>EDATE(BG!D2,-3)</f>
        <v>#NUM!</v>
      </c>
      <c r="G2" s="255" t="e">
        <f>EDATE(BG!D2,-2)</f>
        <v>#NUM!</v>
      </c>
      <c r="H2" s="255" t="e">
        <f>EDATE(BG!D2,-1)</f>
        <v>#NUM!</v>
      </c>
      <c r="I2" s="292"/>
      <c r="J2" s="292"/>
    </row>
    <row r="3" spans="1:10" x14ac:dyDescent="0.2">
      <c r="A3" s="892" t="s">
        <v>66</v>
      </c>
      <c r="B3" s="893"/>
      <c r="C3" s="297"/>
      <c r="D3" s="297"/>
      <c r="E3" s="297"/>
      <c r="F3" s="297"/>
      <c r="G3" s="297"/>
      <c r="H3" s="297"/>
      <c r="I3" s="294"/>
      <c r="J3" s="294"/>
    </row>
    <row r="4" spans="1:10" x14ac:dyDescent="0.2">
      <c r="A4" s="886" t="s">
        <v>38</v>
      </c>
      <c r="B4" s="887"/>
      <c r="C4" s="298"/>
      <c r="D4" s="298"/>
      <c r="E4" s="298"/>
      <c r="F4" s="298"/>
      <c r="G4" s="298"/>
      <c r="H4" s="298"/>
      <c r="I4" s="294"/>
      <c r="J4" s="294"/>
    </row>
    <row r="5" spans="1:10" x14ac:dyDescent="0.2">
      <c r="A5" s="888" t="s">
        <v>67</v>
      </c>
      <c r="B5" s="889"/>
      <c r="C5" s="317"/>
      <c r="D5" s="317"/>
      <c r="E5" s="317"/>
      <c r="F5" s="317"/>
      <c r="G5" s="317"/>
      <c r="H5" s="317"/>
      <c r="I5" s="294"/>
      <c r="J5" s="294"/>
    </row>
    <row r="6" spans="1:10" x14ac:dyDescent="0.2">
      <c r="A6" s="912" t="s">
        <v>68</v>
      </c>
      <c r="B6" s="913"/>
      <c r="C6" s="318"/>
      <c r="D6" s="318"/>
      <c r="E6" s="318"/>
      <c r="F6" s="318"/>
      <c r="G6" s="318"/>
      <c r="H6" s="318"/>
      <c r="I6" s="294"/>
      <c r="J6" s="294"/>
    </row>
    <row r="7" spans="1:10" x14ac:dyDescent="0.2">
      <c r="A7" s="319"/>
      <c r="B7" s="319"/>
      <c r="C7" s="143">
        <f t="shared" ref="C7:H7" si="0">IF((C3+C4)=0,0,IF(AND((C3-C5)&gt;=0,(C4-C6)&gt;=0),(C3+C4-C5-C6),IF(AND((C3-C5)&gt;0,(C4-C6)&lt;0),(C3-C5),IF(AND((C3-C5)&lt;0,(C4-C6)&gt;0),(C4-C6),IF((C3-C5)&gt;0,(C3-C5),IF((C3-C5)&lt;0,0))))))</f>
        <v>0</v>
      </c>
      <c r="D7" s="143">
        <f t="shared" si="0"/>
        <v>0</v>
      </c>
      <c r="E7" s="143">
        <f t="shared" si="0"/>
        <v>0</v>
      </c>
      <c r="F7" s="143">
        <f t="shared" si="0"/>
        <v>0</v>
      </c>
      <c r="G7" s="143">
        <f t="shared" si="0"/>
        <v>0</v>
      </c>
      <c r="H7" s="143">
        <f t="shared" si="0"/>
        <v>0</v>
      </c>
      <c r="I7" s="240"/>
      <c r="J7" s="240"/>
    </row>
    <row r="8" spans="1:10" x14ac:dyDescent="0.2">
      <c r="A8" s="933" t="s">
        <v>69</v>
      </c>
      <c r="B8" s="934"/>
      <c r="C8" s="297"/>
      <c r="D8" s="297"/>
      <c r="E8" s="297"/>
      <c r="F8" s="297"/>
      <c r="G8" s="297"/>
      <c r="H8" s="297"/>
      <c r="I8" s="294"/>
      <c r="J8" s="294"/>
    </row>
    <row r="9" spans="1:10" x14ac:dyDescent="0.2">
      <c r="A9" s="935" t="s">
        <v>38</v>
      </c>
      <c r="B9" s="936"/>
      <c r="C9" s="298"/>
      <c r="D9" s="298"/>
      <c r="E9" s="298"/>
      <c r="F9" s="298"/>
      <c r="G9" s="298"/>
      <c r="H9" s="298"/>
      <c r="I9" s="294"/>
      <c r="J9" s="294"/>
    </row>
    <row r="10" spans="1:10" x14ac:dyDescent="0.2">
      <c r="A10" s="888" t="s">
        <v>67</v>
      </c>
      <c r="B10" s="889"/>
      <c r="C10" s="297"/>
      <c r="D10" s="297"/>
      <c r="E10" s="297"/>
      <c r="F10" s="297"/>
      <c r="G10" s="297"/>
      <c r="H10" s="297"/>
      <c r="I10" s="294"/>
      <c r="J10" s="294"/>
    </row>
    <row r="11" spans="1:10" x14ac:dyDescent="0.2">
      <c r="A11" s="912" t="s">
        <v>68</v>
      </c>
      <c r="B11" s="913"/>
      <c r="C11" s="318"/>
      <c r="D11" s="318"/>
      <c r="E11" s="318"/>
      <c r="F11" s="318"/>
      <c r="G11" s="318"/>
      <c r="H11" s="318"/>
      <c r="I11" s="294"/>
      <c r="J11" s="294"/>
    </row>
    <row r="12" spans="1:10" x14ac:dyDescent="0.2">
      <c r="A12" s="321"/>
      <c r="B12" s="321"/>
      <c r="C12" s="143">
        <f t="shared" ref="C12:H12" si="1">IF((C8+C9)=0,0,IF(AND((C8-C10)&gt;=0,(C9-C11)&gt;=0),(C8+C9-C10-C11),IF(AND((C8-C10)&gt;0,(C9-C11)&lt;0),(C8-C10),IF(AND((C8-C10)&lt;0,(C9-C11)&gt;0),(C9-C11),IF((C8-C10)&gt;0,(C8-C10),IF((C8-C10)&lt;0,0))))))</f>
        <v>0</v>
      </c>
      <c r="D12" s="143">
        <f t="shared" si="1"/>
        <v>0</v>
      </c>
      <c r="E12" s="143">
        <f t="shared" si="1"/>
        <v>0</v>
      </c>
      <c r="F12" s="143">
        <f t="shared" si="1"/>
        <v>0</v>
      </c>
      <c r="G12" s="143">
        <f t="shared" si="1"/>
        <v>0</v>
      </c>
      <c r="H12" s="143">
        <f t="shared" si="1"/>
        <v>0</v>
      </c>
      <c r="I12" s="240"/>
      <c r="J12" s="240"/>
    </row>
    <row r="13" spans="1:10" x14ac:dyDescent="0.2">
      <c r="A13" s="892" t="s">
        <v>70</v>
      </c>
      <c r="B13" s="893"/>
      <c r="C13" s="297"/>
      <c r="D13" s="297"/>
      <c r="E13" s="297"/>
      <c r="F13" s="297"/>
      <c r="G13" s="297"/>
      <c r="H13" s="297"/>
      <c r="I13" s="294"/>
      <c r="J13" s="294"/>
    </row>
    <row r="14" spans="1:10" x14ac:dyDescent="0.2">
      <c r="A14" s="886" t="s">
        <v>38</v>
      </c>
      <c r="B14" s="887"/>
      <c r="C14" s="298"/>
      <c r="D14" s="298"/>
      <c r="E14" s="298"/>
      <c r="F14" s="298"/>
      <c r="G14" s="298"/>
      <c r="H14" s="298"/>
      <c r="I14" s="294"/>
      <c r="J14" s="294"/>
    </row>
    <row r="15" spans="1:10" x14ac:dyDescent="0.2">
      <c r="A15" s="888" t="s">
        <v>67</v>
      </c>
      <c r="B15" s="889"/>
      <c r="C15" s="323"/>
      <c r="D15" s="297"/>
      <c r="E15" s="297"/>
      <c r="F15" s="297"/>
      <c r="G15" s="297"/>
      <c r="H15" s="297"/>
      <c r="I15" s="294"/>
      <c r="J15" s="294"/>
    </row>
    <row r="16" spans="1:10" x14ac:dyDescent="0.2">
      <c r="A16" s="912" t="s">
        <v>68</v>
      </c>
      <c r="B16" s="913"/>
      <c r="C16" s="324"/>
      <c r="D16" s="325"/>
      <c r="E16" s="325"/>
      <c r="F16" s="325"/>
      <c r="G16" s="325"/>
      <c r="H16" s="325"/>
      <c r="I16" s="294"/>
      <c r="J16" s="294"/>
    </row>
    <row r="17" spans="1:10" x14ac:dyDescent="0.2">
      <c r="A17" s="321"/>
      <c r="B17" s="321"/>
      <c r="C17" s="143">
        <f t="shared" ref="C17:H17" si="2">IF((C13+C14)=0,0,IF(AND((C13-C15)&gt;=0,(C14-C16)&gt;=0),(C13+C14-C15-C16),IF(AND((C13-C15)&gt;0,(C14-C16)&lt;0),(C13-C15),IF(AND((C13-C15)&lt;0,(C14-C16)&gt;0),(C14-C16),IF((C13-C15)&gt;0,(C13-C15),IF((C13-C15)&lt;0,0))))))</f>
        <v>0</v>
      </c>
      <c r="D17" s="143">
        <f t="shared" si="2"/>
        <v>0</v>
      </c>
      <c r="E17" s="143">
        <f t="shared" si="2"/>
        <v>0</v>
      </c>
      <c r="F17" s="143">
        <f t="shared" si="2"/>
        <v>0</v>
      </c>
      <c r="G17" s="143">
        <f t="shared" si="2"/>
        <v>0</v>
      </c>
      <c r="H17" s="143">
        <f t="shared" si="2"/>
        <v>0</v>
      </c>
      <c r="I17" s="240"/>
      <c r="J17" s="240"/>
    </row>
    <row r="18" spans="1:10" x14ac:dyDescent="0.2">
      <c r="A18" s="892" t="s">
        <v>516</v>
      </c>
      <c r="B18" s="893"/>
      <c r="C18" s="328"/>
      <c r="D18" s="328"/>
      <c r="E18" s="328"/>
      <c r="F18" s="328"/>
      <c r="G18" s="328"/>
      <c r="H18" s="328"/>
      <c r="I18" s="294"/>
      <c r="J18" s="294"/>
    </row>
    <row r="19" spans="1:10" x14ac:dyDescent="0.2">
      <c r="A19" s="607"/>
      <c r="B19" s="608" t="s">
        <v>517</v>
      </c>
      <c r="C19" s="609"/>
      <c r="D19" s="609"/>
      <c r="E19" s="609"/>
      <c r="F19" s="609"/>
      <c r="G19" s="609"/>
      <c r="H19" s="609"/>
      <c r="I19" s="294"/>
      <c r="J19" s="294"/>
    </row>
    <row r="20" spans="1:10" x14ac:dyDescent="0.2">
      <c r="A20" s="886" t="s">
        <v>515</v>
      </c>
      <c r="B20" s="887"/>
      <c r="C20" s="362"/>
      <c r="D20" s="362"/>
      <c r="E20" s="362"/>
      <c r="F20" s="362"/>
      <c r="G20" s="362"/>
      <c r="H20" s="362"/>
      <c r="I20" s="294"/>
      <c r="J20" s="294"/>
    </row>
    <row r="21" spans="1:10" x14ac:dyDescent="0.2">
      <c r="A21" s="888" t="s">
        <v>67</v>
      </c>
      <c r="B21" s="889"/>
      <c r="C21" s="323"/>
      <c r="D21" s="328"/>
      <c r="E21" s="328"/>
      <c r="F21" s="328"/>
      <c r="G21" s="328"/>
      <c r="H21" s="328"/>
      <c r="I21" s="294"/>
      <c r="J21" s="294"/>
    </row>
    <row r="22" spans="1:10" x14ac:dyDescent="0.2">
      <c r="A22" s="912" t="s">
        <v>68</v>
      </c>
      <c r="B22" s="913"/>
      <c r="C22" s="329"/>
      <c r="D22" s="318"/>
      <c r="E22" s="318"/>
      <c r="F22" s="318"/>
      <c r="G22" s="318"/>
      <c r="H22" s="318"/>
      <c r="I22" s="294"/>
      <c r="J22" s="294"/>
    </row>
    <row r="23" spans="1:10" s="614" customFormat="1" x14ac:dyDescent="0.2">
      <c r="A23" s="615"/>
      <c r="B23" s="615"/>
      <c r="C23" s="143">
        <f>IF((C18+C19+C20)=0,0,IF(AND((C18+C19-C21)&gt;=0,(C20-C22)&gt;=0),(C18+C19+C20-C21-C22),IF(AND((C18+C19-C21)&gt;0,(C20-C22)&lt;0),(C18+C19-C21),IF(AND((C18+C19-C21)&lt;0,(C20-C22)&gt;0),(C20-C22),IF((C18+C19-C21)&gt;0,(C18+C19-C21),IF((C18+C19-C21)&lt;0,0))))))</f>
        <v>0</v>
      </c>
      <c r="D23" s="143">
        <f t="shared" ref="D23:H23" si="3">IF((D18+D19+D20)=0,0,IF(AND((D18+D19-D21)&gt;=0,(D20-D22)&gt;=0),(D18+D19+D20-D21-D22),IF(AND((D18+D19-D21)&gt;0,(D20-D22)&lt;0),(D18+D19-D21),IF(AND((D18+D19-D21)&lt;0,(D20-D22)&gt;0),(D20-D22),IF((D18+D19-D21)&gt;0,(D18+D19-D21),IF((D18+D19-D21)&lt;0,0))))))</f>
        <v>0</v>
      </c>
      <c r="E23" s="143">
        <f t="shared" si="3"/>
        <v>0</v>
      </c>
      <c r="F23" s="143">
        <f t="shared" si="3"/>
        <v>0</v>
      </c>
      <c r="G23" s="143">
        <f t="shared" si="3"/>
        <v>0</v>
      </c>
      <c r="H23" s="143">
        <f t="shared" si="3"/>
        <v>0</v>
      </c>
      <c r="I23" s="81"/>
      <c r="J23" s="81"/>
    </row>
    <row r="24" spans="1:10" x14ac:dyDescent="0.2">
      <c r="A24" s="892" t="s">
        <v>71</v>
      </c>
      <c r="B24" s="893"/>
      <c r="C24" s="297"/>
      <c r="D24" s="297"/>
      <c r="E24" s="297"/>
      <c r="F24" s="297"/>
      <c r="G24" s="297"/>
      <c r="H24" s="297"/>
      <c r="I24" s="294"/>
      <c r="J24" s="294"/>
    </row>
    <row r="25" spans="1:10" x14ac:dyDescent="0.2">
      <c r="A25" s="886" t="s">
        <v>38</v>
      </c>
      <c r="B25" s="887"/>
      <c r="C25" s="298"/>
      <c r="D25" s="298"/>
      <c r="E25" s="298"/>
      <c r="F25" s="298"/>
      <c r="G25" s="298"/>
      <c r="H25" s="298"/>
      <c r="I25" s="294"/>
      <c r="J25" s="294"/>
    </row>
    <row r="26" spans="1:10" x14ac:dyDescent="0.2">
      <c r="A26" s="888" t="s">
        <v>67</v>
      </c>
      <c r="B26" s="889"/>
      <c r="C26" s="323"/>
      <c r="D26" s="297"/>
      <c r="E26" s="297"/>
      <c r="F26" s="297"/>
      <c r="G26" s="297"/>
      <c r="H26" s="297"/>
      <c r="I26" s="294"/>
      <c r="J26" s="294"/>
    </row>
    <row r="27" spans="1:10" x14ac:dyDescent="0.2">
      <c r="A27" s="890" t="s">
        <v>68</v>
      </c>
      <c r="B27" s="891"/>
      <c r="C27" s="329"/>
      <c r="D27" s="318"/>
      <c r="E27" s="318"/>
      <c r="F27" s="318"/>
      <c r="G27" s="318"/>
      <c r="H27" s="318"/>
      <c r="I27" s="294"/>
      <c r="J27" s="294"/>
    </row>
    <row r="28" spans="1:10" x14ac:dyDescent="0.2">
      <c r="A28" s="331"/>
      <c r="B28" s="330"/>
      <c r="C28" s="144">
        <f t="shared" ref="C28:H28" si="4">IF((C24+C25)=0,0,IF(AND((C24-C26)&gt;=0,(C25-C27)&gt;=0),(C24+C25-C26-C27),IF(AND((C24-C26)&gt;0,(C25-C27)&lt;0),(C24-C26),IF(AND((C24-C26)&lt;0,(C25-C27)&gt;0),(C25-C27),IF((C24-C26)&gt;0,(C24-C26),IF((C24-C26)&lt;0,0))))))</f>
        <v>0</v>
      </c>
      <c r="D28" s="144">
        <f t="shared" si="4"/>
        <v>0</v>
      </c>
      <c r="E28" s="144">
        <f t="shared" si="4"/>
        <v>0</v>
      </c>
      <c r="F28" s="144">
        <f t="shared" si="4"/>
        <v>0</v>
      </c>
      <c r="G28" s="144">
        <f t="shared" si="4"/>
        <v>0</v>
      </c>
      <c r="H28" s="144">
        <f t="shared" si="4"/>
        <v>0</v>
      </c>
      <c r="I28" s="239"/>
      <c r="J28" s="239"/>
    </row>
    <row r="29" spans="1:10" s="614" customFormat="1" x14ac:dyDescent="0.2">
      <c r="A29" s="1061"/>
      <c r="B29" s="1061"/>
      <c r="C29" s="617">
        <f>IF(AND(C18&gt;0,AS!C53&gt;0),C18,0)</f>
        <v>0</v>
      </c>
      <c r="D29" s="617">
        <f>IF(AND(D18&gt;0,AS!D53&gt;0),D18,0)</f>
        <v>0</v>
      </c>
      <c r="E29" s="617">
        <f>IF(AND(E18&gt;0,AS!E53&gt;0),E18,0)</f>
        <v>0</v>
      </c>
      <c r="F29" s="617">
        <f>IF(AND(F18&gt;0,AS!F53&gt;0),F18,0)</f>
        <v>0</v>
      </c>
      <c r="G29" s="617">
        <f>IF(AND(G18&gt;0,AS!G53&gt;0),G18,0)</f>
        <v>0</v>
      </c>
      <c r="H29" s="617">
        <f>IF(AND(H18&gt;0,AS!H53&gt;0),H18,0)</f>
        <v>0</v>
      </c>
      <c r="I29" s="84"/>
      <c r="J29" s="613"/>
    </row>
    <row r="30" spans="1:10" x14ac:dyDescent="0.2">
      <c r="A30" s="239"/>
      <c r="B30" s="1044"/>
      <c r="C30" s="1044"/>
      <c r="D30" s="409"/>
      <c r="E30" s="409"/>
      <c r="F30" s="409"/>
      <c r="G30" s="409"/>
      <c r="H30" s="409"/>
      <c r="I30" s="409"/>
      <c r="J30" s="239"/>
    </row>
    <row r="31" spans="1:10" x14ac:dyDescent="0.2">
      <c r="A31" s="239"/>
      <c r="B31" s="1045"/>
      <c r="C31" s="1045"/>
      <c r="D31" s="334"/>
      <c r="E31" s="334"/>
      <c r="F31" s="334"/>
      <c r="G31" s="334"/>
      <c r="H31" s="334"/>
      <c r="I31" s="334"/>
      <c r="J31" s="239"/>
    </row>
    <row r="32" spans="1:10" x14ac:dyDescent="0.2">
      <c r="A32" s="239"/>
      <c r="B32" s="1045"/>
      <c r="C32" s="1045"/>
      <c r="D32" s="334"/>
      <c r="E32" s="334"/>
      <c r="F32" s="334"/>
      <c r="G32" s="334"/>
      <c r="H32" s="334"/>
      <c r="I32" s="334"/>
      <c r="J32" s="239"/>
    </row>
    <row r="33" spans="1:10" x14ac:dyDescent="0.2">
      <c r="A33" s="239"/>
      <c r="B33" s="332"/>
      <c r="C33" s="332"/>
      <c r="D33" s="334"/>
      <c r="E33" s="334"/>
      <c r="F33" s="334"/>
      <c r="G33" s="334"/>
      <c r="H33" s="334"/>
      <c r="I33" s="334"/>
      <c r="J33" s="239"/>
    </row>
    <row r="34" spans="1:10" x14ac:dyDescent="0.2">
      <c r="A34" s="239"/>
      <c r="B34" s="239"/>
      <c r="C34" s="239"/>
      <c r="D34" s="239"/>
      <c r="E34" s="239"/>
      <c r="F34" s="239"/>
      <c r="G34" s="239"/>
      <c r="H34" s="239"/>
      <c r="I34" s="239"/>
      <c r="J34" s="239"/>
    </row>
    <row r="35" spans="1:10" x14ac:dyDescent="0.2">
      <c r="A35" s="239"/>
      <c r="B35" s="239"/>
      <c r="C35" s="239"/>
      <c r="D35" s="239"/>
      <c r="E35" s="239"/>
      <c r="F35" s="239"/>
      <c r="G35" s="239"/>
      <c r="H35" s="239"/>
      <c r="I35" s="239"/>
      <c r="J35" s="239"/>
    </row>
    <row r="36" spans="1:10" x14ac:dyDescent="0.2">
      <c r="A36" s="239"/>
      <c r="B36" s="239"/>
      <c r="C36" s="239"/>
      <c r="D36" s="239"/>
      <c r="E36" s="239"/>
      <c r="F36" s="239"/>
      <c r="G36" s="239"/>
      <c r="H36" s="239"/>
      <c r="I36" s="239"/>
      <c r="J36" s="239"/>
    </row>
    <row r="37" spans="1:10" ht="15" x14ac:dyDescent="0.25">
      <c r="A37" s="931" t="s">
        <v>29</v>
      </c>
      <c r="B37" s="932"/>
      <c r="C37" s="255" t="e">
        <f>EDATE(BG!D2,-6)</f>
        <v>#NUM!</v>
      </c>
      <c r="D37" s="255" t="e">
        <f>EDATE(BG!D2,-5)</f>
        <v>#NUM!</v>
      </c>
      <c r="E37" s="255" t="e">
        <f>EDATE(BG!D2,-4)</f>
        <v>#NUM!</v>
      </c>
      <c r="F37" s="255" t="e">
        <f>EDATE(BG!D2,-3)</f>
        <v>#NUM!</v>
      </c>
      <c r="G37" s="255" t="e">
        <f>EDATE(BG!D2,-2)</f>
        <v>#NUM!</v>
      </c>
      <c r="H37" s="255" t="e">
        <f>EDATE(BG!D2,-1)</f>
        <v>#NUM!</v>
      </c>
      <c r="I37" s="292"/>
      <c r="J37" s="292"/>
    </row>
    <row r="38" spans="1:10" x14ac:dyDescent="0.2">
      <c r="A38" s="896" t="s">
        <v>73</v>
      </c>
      <c r="B38" s="897"/>
      <c r="C38" s="333"/>
      <c r="D38" s="333"/>
      <c r="E38" s="333"/>
      <c r="F38" s="333"/>
      <c r="G38" s="333"/>
      <c r="H38" s="333"/>
      <c r="I38" s="294"/>
      <c r="J38" s="294"/>
    </row>
    <row r="39" spans="1:10" x14ac:dyDescent="0.2">
      <c r="A39" s="868" t="s">
        <v>74</v>
      </c>
      <c r="B39" s="869"/>
      <c r="C39" s="333"/>
      <c r="D39" s="333"/>
      <c r="E39" s="333"/>
      <c r="F39" s="333"/>
      <c r="G39" s="333"/>
      <c r="H39" s="333"/>
      <c r="I39" s="294"/>
      <c r="J39" s="294"/>
    </row>
    <row r="40" spans="1:10" x14ac:dyDescent="0.2">
      <c r="A40" s="239"/>
      <c r="B40" s="239"/>
      <c r="C40" s="239"/>
      <c r="D40" s="239"/>
      <c r="E40" s="239"/>
      <c r="F40" s="239"/>
      <c r="G40" s="239"/>
      <c r="H40" s="239"/>
      <c r="I40" s="240"/>
      <c r="J40" s="240"/>
    </row>
    <row r="41" spans="1:10" x14ac:dyDescent="0.2">
      <c r="A41" s="1046" t="s">
        <v>252</v>
      </c>
      <c r="B41" s="1047"/>
      <c r="C41" s="363"/>
      <c r="D41" s="363"/>
      <c r="E41" s="363"/>
      <c r="F41" s="363"/>
      <c r="G41" s="363"/>
      <c r="H41" s="363"/>
      <c r="I41" s="294"/>
      <c r="J41" s="294"/>
    </row>
    <row r="42" spans="1:10" x14ac:dyDescent="0.2">
      <c r="A42" s="1042" t="s">
        <v>313</v>
      </c>
      <c r="B42" s="1043"/>
      <c r="C42" s="294"/>
      <c r="D42" s="294"/>
      <c r="E42" s="294"/>
      <c r="F42" s="294"/>
      <c r="G42" s="294"/>
      <c r="H42" s="410"/>
      <c r="I42" s="240"/>
      <c r="J42" s="240"/>
    </row>
    <row r="43" spans="1:10" x14ac:dyDescent="0.2">
      <c r="A43" s="884" t="s">
        <v>314</v>
      </c>
      <c r="B43" s="885"/>
      <c r="C43" s="336"/>
      <c r="D43" s="336"/>
      <c r="E43" s="336"/>
      <c r="F43" s="336"/>
      <c r="G43" s="336"/>
      <c r="H43" s="336"/>
      <c r="I43" s="294"/>
      <c r="J43" s="294"/>
    </row>
    <row r="44" spans="1:10" x14ac:dyDescent="0.2">
      <c r="A44" s="880" t="s">
        <v>495</v>
      </c>
      <c r="B44" s="881"/>
      <c r="C44" s="339"/>
      <c r="D44" s="339"/>
      <c r="E44" s="339"/>
      <c r="F44" s="339"/>
      <c r="G44" s="339"/>
      <c r="H44" s="339"/>
      <c r="I44" s="294"/>
      <c r="J44" s="294"/>
    </row>
    <row r="45" spans="1:10" x14ac:dyDescent="0.2">
      <c r="A45" s="882" t="s">
        <v>316</v>
      </c>
      <c r="B45" s="883"/>
      <c r="C45" s="339"/>
      <c r="D45" s="339"/>
      <c r="E45" s="339"/>
      <c r="F45" s="339"/>
      <c r="G45" s="339"/>
      <c r="H45" s="339"/>
      <c r="I45" s="294"/>
      <c r="J45" s="294"/>
    </row>
    <row r="46" spans="1:10" x14ac:dyDescent="0.2">
      <c r="A46" s="870" t="s">
        <v>317</v>
      </c>
      <c r="B46" s="871"/>
      <c r="C46" s="340" t="e">
        <f t="shared" ref="C46:H46" si="5">IF(AND(C96=0,C41&gt;0,C61&gt;17),30,0)</f>
        <v>#NUM!</v>
      </c>
      <c r="D46" s="340" t="e">
        <f t="shared" si="5"/>
        <v>#NUM!</v>
      </c>
      <c r="E46" s="340" t="e">
        <f t="shared" si="5"/>
        <v>#NUM!</v>
      </c>
      <c r="F46" s="340" t="e">
        <f t="shared" si="5"/>
        <v>#NUM!</v>
      </c>
      <c r="G46" s="340" t="e">
        <f t="shared" si="5"/>
        <v>#NUM!</v>
      </c>
      <c r="H46" s="340" t="e">
        <f t="shared" si="5"/>
        <v>#NUM!</v>
      </c>
      <c r="I46" s="240"/>
      <c r="J46" s="240"/>
    </row>
    <row r="47" spans="1:10" x14ac:dyDescent="0.2">
      <c r="A47" s="872" t="s">
        <v>58</v>
      </c>
      <c r="B47" s="872"/>
      <c r="C47" s="364"/>
      <c r="D47" s="364"/>
      <c r="E47" s="364"/>
      <c r="F47" s="364"/>
      <c r="G47" s="364"/>
      <c r="H47" s="364"/>
      <c r="I47" s="294"/>
      <c r="J47" s="294"/>
    </row>
    <row r="48" spans="1:10" x14ac:dyDescent="0.2">
      <c r="A48" s="873" t="s">
        <v>318</v>
      </c>
      <c r="B48" s="874"/>
      <c r="C48" s="336"/>
      <c r="D48" s="336"/>
      <c r="E48" s="336"/>
      <c r="F48" s="336"/>
      <c r="G48" s="336"/>
      <c r="H48" s="336"/>
      <c r="I48" s="294"/>
      <c r="J48" s="294"/>
    </row>
    <row r="49" spans="1:10" x14ac:dyDescent="0.2">
      <c r="A49" s="810" t="s">
        <v>319</v>
      </c>
      <c r="B49" s="810"/>
      <c r="C49" s="337"/>
      <c r="D49" s="337"/>
      <c r="E49" s="337"/>
      <c r="F49" s="337"/>
      <c r="G49" s="337"/>
      <c r="H49" s="337"/>
      <c r="I49" s="294"/>
      <c r="J49" s="294"/>
    </row>
    <row r="50" spans="1:10" x14ac:dyDescent="0.2">
      <c r="A50" s="810" t="s">
        <v>320</v>
      </c>
      <c r="B50" s="810"/>
      <c r="C50" s="287">
        <f t="shared" ref="C50:H50" si="6">IF(C41=ISBLANK(0),0,IF(C96&gt;0,SUM(C43:C49),IF(C96=0,IF(SUM(C43:C49)&lt;100,100,SUM(C43:C49)))))</f>
        <v>0</v>
      </c>
      <c r="D50" s="287">
        <f t="shared" si="6"/>
        <v>0</v>
      </c>
      <c r="E50" s="287">
        <f t="shared" si="6"/>
        <v>0</v>
      </c>
      <c r="F50" s="287">
        <f t="shared" si="6"/>
        <v>0</v>
      </c>
      <c r="G50" s="287">
        <f t="shared" si="6"/>
        <v>0</v>
      </c>
      <c r="H50" s="287">
        <f t="shared" si="6"/>
        <v>0</v>
      </c>
      <c r="I50" s="294"/>
      <c r="J50" s="294"/>
    </row>
    <row r="51" spans="1:10" x14ac:dyDescent="0.2">
      <c r="A51" s="810" t="s">
        <v>322</v>
      </c>
      <c r="B51" s="810"/>
      <c r="C51" s="287">
        <f t="shared" ref="C51:H51" si="7">IF(C41-C50&lt;0,0,C41-C50)</f>
        <v>0</v>
      </c>
      <c r="D51" s="287">
        <f t="shared" si="7"/>
        <v>0</v>
      </c>
      <c r="E51" s="287">
        <f t="shared" si="7"/>
        <v>0</v>
      </c>
      <c r="F51" s="287">
        <f t="shared" si="7"/>
        <v>0</v>
      </c>
      <c r="G51" s="287">
        <f t="shared" si="7"/>
        <v>0</v>
      </c>
      <c r="H51" s="287">
        <f t="shared" si="7"/>
        <v>0</v>
      </c>
      <c r="I51" s="240"/>
      <c r="J51" s="240"/>
    </row>
    <row r="52" spans="1:10" x14ac:dyDescent="0.2">
      <c r="A52" s="866" t="s">
        <v>321</v>
      </c>
      <c r="B52" s="867"/>
      <c r="C52" s="365"/>
      <c r="D52" s="365"/>
      <c r="E52" s="365"/>
      <c r="F52" s="365"/>
      <c r="G52" s="365"/>
      <c r="H52" s="365"/>
      <c r="I52" s="294"/>
      <c r="J52" s="294"/>
    </row>
    <row r="53" spans="1:10" x14ac:dyDescent="0.2">
      <c r="A53" s="868" t="s">
        <v>68</v>
      </c>
      <c r="B53" s="869"/>
      <c r="C53" s="333"/>
      <c r="D53" s="333"/>
      <c r="E53" s="333"/>
      <c r="F53" s="333"/>
      <c r="G53" s="333"/>
      <c r="H53" s="333"/>
      <c r="I53" s="294"/>
      <c r="J53" s="294"/>
    </row>
    <row r="54" spans="1:10" x14ac:dyDescent="0.2">
      <c r="A54" s="239"/>
      <c r="B54" s="239"/>
      <c r="C54" s="93">
        <f t="shared" ref="C54:H54" si="8">IF((C52-C53)&lt;0,0,(C52-C53))</f>
        <v>0</v>
      </c>
      <c r="D54" s="93">
        <f t="shared" si="8"/>
        <v>0</v>
      </c>
      <c r="E54" s="93">
        <f t="shared" si="8"/>
        <v>0</v>
      </c>
      <c r="F54" s="93">
        <f t="shared" si="8"/>
        <v>0</v>
      </c>
      <c r="G54" s="93">
        <f t="shared" si="8"/>
        <v>0</v>
      </c>
      <c r="H54" s="93">
        <f t="shared" si="8"/>
        <v>0</v>
      </c>
      <c r="I54" s="240"/>
      <c r="J54" s="240"/>
    </row>
    <row r="55" spans="1:10" x14ac:dyDescent="0.2">
      <c r="A55" s="239"/>
      <c r="B55" s="239"/>
      <c r="C55" s="93">
        <f t="shared" ref="C55:H55" si="9">IF(C38-C39&lt;0,0,C38-C39)</f>
        <v>0</v>
      </c>
      <c r="D55" s="93">
        <f t="shared" si="9"/>
        <v>0</v>
      </c>
      <c r="E55" s="93">
        <f t="shared" si="9"/>
        <v>0</v>
      </c>
      <c r="F55" s="93">
        <f t="shared" si="9"/>
        <v>0</v>
      </c>
      <c r="G55" s="93">
        <f t="shared" si="9"/>
        <v>0</v>
      </c>
      <c r="H55" s="93">
        <f t="shared" si="9"/>
        <v>0</v>
      </c>
      <c r="I55" s="240"/>
      <c r="J55" s="240"/>
    </row>
    <row r="56" spans="1:10" ht="15" x14ac:dyDescent="0.25">
      <c r="A56" s="902" t="s">
        <v>75</v>
      </c>
      <c r="B56" s="902"/>
      <c r="C56" s="342" t="s">
        <v>323</v>
      </c>
      <c r="D56" s="309"/>
      <c r="E56" s="309"/>
      <c r="F56" s="309"/>
      <c r="G56" s="309"/>
      <c r="H56" s="309"/>
      <c r="I56" s="240"/>
      <c r="J56" s="240"/>
    </row>
    <row r="57" spans="1:10" x14ac:dyDescent="0.2">
      <c r="A57" s="903" t="s">
        <v>56</v>
      </c>
      <c r="B57" s="903"/>
      <c r="C57" s="308"/>
      <c r="D57" s="308"/>
      <c r="E57" s="308"/>
      <c r="F57" s="308"/>
      <c r="G57" s="308"/>
      <c r="H57" s="308"/>
      <c r="I57" s="294"/>
      <c r="J57" s="294"/>
    </row>
    <row r="58" spans="1:10" x14ac:dyDescent="0.2">
      <c r="A58" s="903" t="s">
        <v>57</v>
      </c>
      <c r="B58" s="903"/>
      <c r="C58" s="308"/>
      <c r="D58" s="308"/>
      <c r="E58" s="308"/>
      <c r="F58" s="308"/>
      <c r="G58" s="308"/>
      <c r="H58" s="308"/>
      <c r="I58" s="294"/>
      <c r="J58" s="294"/>
    </row>
    <row r="59" spans="1:10" x14ac:dyDescent="0.2">
      <c r="A59" s="903" t="s">
        <v>58</v>
      </c>
      <c r="B59" s="903"/>
      <c r="C59" s="308"/>
      <c r="D59" s="308"/>
      <c r="E59" s="308"/>
      <c r="F59" s="308"/>
      <c r="G59" s="308"/>
      <c r="H59" s="308"/>
      <c r="I59" s="294"/>
      <c r="J59" s="294"/>
    </row>
    <row r="60" spans="1:10" x14ac:dyDescent="0.2">
      <c r="A60" s="903" t="s">
        <v>76</v>
      </c>
      <c r="B60" s="903"/>
      <c r="C60" s="343">
        <f>IF(C61&lt;18,0,IF(C46=30,0,IF((C75+C76+H78)&gt;0,0,IF(C96=0,30,IF(C96&gt;0,0)))))</f>
        <v>0</v>
      </c>
      <c r="D60" s="343">
        <f>IF(D61&lt;18,0,IF(D46=30,0,IF((D75+D76+H78)&gt;0,0,IF(D96=0,30,IF(D96&gt;0,0)))))</f>
        <v>0</v>
      </c>
      <c r="E60" s="343">
        <f>IF(E61&lt;18,0,IF(E46=30,0,IF((E75+E76+H78)&gt;0,0,IF(E96=0,30,IF(E96&gt;0,0)))))</f>
        <v>0</v>
      </c>
      <c r="F60" s="343">
        <f>IF(F61&lt;18,0,IF(F46=30,0,IF((F75+F76+H78)&gt;0,0,IF(F96=0,30,IF(F96&gt;0,0)))))</f>
        <v>0</v>
      </c>
      <c r="G60" s="343">
        <f>IF(G61&lt;18,0,IF(G46=30,0,IF((G75+G76+H78)&gt;0,0,IF(G96=0,30,IF(G96&gt;0,0)))))</f>
        <v>0</v>
      </c>
      <c r="H60" s="343">
        <f>IF(H61&lt;18,0,IF(H46=30,0,IF((H75+H76+H78)&gt;0,0,IF(H96=0,30,IF(H96&gt;0,0)))))</f>
        <v>0</v>
      </c>
      <c r="I60" s="239"/>
      <c r="J60" s="239"/>
    </row>
    <row r="61" spans="1:10" x14ac:dyDescent="0.2">
      <c r="A61" s="239"/>
      <c r="B61" s="239"/>
      <c r="C61" s="84">
        <f>IF(BG!$C$28=ISBLANK(0),0,IF(INT((C37-BG!$C$28)/365.25)&lt;0,0,INT((C37-BG!$C$28)/365.25)))</f>
        <v>0</v>
      </c>
      <c r="D61" s="84">
        <f>IF(BG!$C$28=ISBLANK(0),0,IF(INT((D37-BG!$C$28)/365.25)&lt;0,0,INT((D37-BG!$C$28)/365.25)))</f>
        <v>0</v>
      </c>
      <c r="E61" s="84">
        <f>IF(BG!$C$28=ISBLANK(0),0,IF(INT((E37-BG!$C$28)/365.25)&lt;0,0,INT((E37-BG!$C$28)/365.25)))</f>
        <v>0</v>
      </c>
      <c r="F61" s="84">
        <f>IF(BG!$C$28=ISBLANK(0),0,IF(INT((F37-BG!$C$28)/365.25)&lt;0,0,INT((F37-BG!$C$28)/365.25)))</f>
        <v>0</v>
      </c>
      <c r="G61" s="84">
        <f>IF(BG!$C$28=ISBLANK(0),0,IF(INT((G37-BG!$C$28)/365.25)&lt;0,0,INT((G37-BG!$C$28)/365.25)))</f>
        <v>0</v>
      </c>
      <c r="H61" s="84">
        <f>IF(BG!$C$28=ISBLANK(0),0,IF(INT((H37-BG!$C$28)/365.25)&lt;0,0,INT((H37-BG!$C$28)/365.25)))</f>
        <v>0</v>
      </c>
      <c r="I61" s="239"/>
      <c r="J61" s="239"/>
    </row>
    <row r="62" spans="1:10" x14ac:dyDescent="0.2">
      <c r="A62" s="241"/>
      <c r="B62" s="344" t="s">
        <v>77</v>
      </c>
      <c r="C62" s="97">
        <f t="shared" ref="C62:H62" si="10">C7+C12+C17+C23+C28+C51+C54+C55</f>
        <v>0</v>
      </c>
      <c r="D62" s="97">
        <f t="shared" si="10"/>
        <v>0</v>
      </c>
      <c r="E62" s="97">
        <f t="shared" si="10"/>
        <v>0</v>
      </c>
      <c r="F62" s="97">
        <f t="shared" si="10"/>
        <v>0</v>
      </c>
      <c r="G62" s="97">
        <f t="shared" si="10"/>
        <v>0</v>
      </c>
      <c r="H62" s="97">
        <f t="shared" si="10"/>
        <v>0</v>
      </c>
      <c r="I62" s="258" t="s">
        <v>48</v>
      </c>
      <c r="J62" s="239"/>
    </row>
    <row r="63" spans="1:10" x14ac:dyDescent="0.2">
      <c r="A63" s="345"/>
      <c r="B63" s="346" t="s">
        <v>78</v>
      </c>
      <c r="C63" s="106">
        <f t="shared" ref="C63:H63" si="11">SUM(C57:C60)</f>
        <v>0</v>
      </c>
      <c r="D63" s="106">
        <f t="shared" si="11"/>
        <v>0</v>
      </c>
      <c r="E63" s="106">
        <f t="shared" si="11"/>
        <v>0</v>
      </c>
      <c r="F63" s="106">
        <f t="shared" si="11"/>
        <v>0</v>
      </c>
      <c r="G63" s="106">
        <f t="shared" si="11"/>
        <v>0</v>
      </c>
      <c r="H63" s="106">
        <f t="shared" si="11"/>
        <v>0</v>
      </c>
      <c r="I63" s="347"/>
      <c r="J63" s="239"/>
    </row>
    <row r="64" spans="1:10" x14ac:dyDescent="0.2">
      <c r="A64" s="281"/>
      <c r="B64" s="348" t="s">
        <v>79</v>
      </c>
      <c r="C64" s="296">
        <f t="shared" ref="C64:H64" si="12">IF((C62-C63)&lt;0,0,(C62-C63))</f>
        <v>0</v>
      </c>
      <c r="D64" s="296">
        <f t="shared" si="12"/>
        <v>0</v>
      </c>
      <c r="E64" s="296">
        <f t="shared" si="12"/>
        <v>0</v>
      </c>
      <c r="F64" s="296">
        <f t="shared" si="12"/>
        <v>0</v>
      </c>
      <c r="G64" s="296">
        <f t="shared" si="12"/>
        <v>0</v>
      </c>
      <c r="H64" s="296">
        <f t="shared" si="12"/>
        <v>0</v>
      </c>
      <c r="I64" s="287">
        <f>SUM(C64:H64)</f>
        <v>0</v>
      </c>
      <c r="J64" s="239"/>
    </row>
    <row r="65" spans="1:10" x14ac:dyDescent="0.2">
      <c r="A65" s="239"/>
      <c r="B65" s="239"/>
      <c r="C65" s="239"/>
      <c r="D65" s="239"/>
      <c r="E65" s="239"/>
      <c r="F65" s="239"/>
      <c r="G65" s="239"/>
      <c r="H65" s="239"/>
      <c r="I65" s="239"/>
      <c r="J65" s="239"/>
    </row>
    <row r="66" spans="1:10" x14ac:dyDescent="0.2">
      <c r="A66" s="239"/>
      <c r="B66" s="239"/>
      <c r="C66" s="239"/>
      <c r="D66" s="239"/>
      <c r="E66" s="239"/>
      <c r="F66" s="239"/>
      <c r="G66" s="239"/>
      <c r="H66" s="239"/>
      <c r="I66" s="239"/>
      <c r="J66" s="239"/>
    </row>
    <row r="67" spans="1:10" x14ac:dyDescent="0.2">
      <c r="A67" s="239"/>
      <c r="B67" s="239"/>
      <c r="C67" s="239"/>
      <c r="D67" s="239"/>
      <c r="E67" s="239"/>
      <c r="F67" s="239"/>
      <c r="G67" s="239"/>
      <c r="H67" s="239"/>
      <c r="I67" s="239"/>
      <c r="J67" s="239"/>
    </row>
    <row r="68" spans="1:10" x14ac:dyDescent="0.2">
      <c r="A68" s="239"/>
      <c r="B68" s="239"/>
      <c r="C68" s="239"/>
      <c r="D68" s="239"/>
      <c r="E68" s="239"/>
      <c r="F68" s="239"/>
      <c r="G68" s="239"/>
      <c r="H68" s="239"/>
      <c r="I68" s="239"/>
      <c r="J68" s="239"/>
    </row>
    <row r="69" spans="1:10" x14ac:dyDescent="0.2">
      <c r="A69" s="239"/>
      <c r="B69" s="239"/>
      <c r="C69" s="239"/>
      <c r="D69" s="239"/>
      <c r="E69" s="239"/>
      <c r="F69" s="239"/>
      <c r="G69" s="239"/>
      <c r="H69" s="239"/>
      <c r="I69" s="239"/>
      <c r="J69" s="239"/>
    </row>
    <row r="70" spans="1:10" x14ac:dyDescent="0.2">
      <c r="A70" s="239"/>
      <c r="B70" s="239"/>
      <c r="C70" s="239"/>
      <c r="D70" s="239"/>
      <c r="E70" s="239"/>
      <c r="F70" s="239"/>
      <c r="G70" s="239"/>
      <c r="H70" s="239"/>
      <c r="I70" s="239"/>
      <c r="J70" s="239"/>
    </row>
    <row r="71" spans="1:10" x14ac:dyDescent="0.2">
      <c r="A71" s="239"/>
      <c r="B71" s="239"/>
      <c r="C71" s="239"/>
      <c r="D71" s="239"/>
      <c r="E71" s="239"/>
      <c r="F71" s="239"/>
      <c r="G71" s="239"/>
      <c r="H71" s="239"/>
      <c r="I71" s="239"/>
      <c r="J71" s="239"/>
    </row>
    <row r="72" spans="1:10" ht="15" x14ac:dyDescent="0.25">
      <c r="A72" s="249"/>
      <c r="B72" s="239"/>
      <c r="C72" s="914" t="s">
        <v>46</v>
      </c>
      <c r="D72" s="914"/>
      <c r="E72" s="914"/>
      <c r="F72" s="914"/>
      <c r="G72" s="914"/>
      <c r="H72" s="914"/>
      <c r="I72" s="239"/>
      <c r="J72" s="239"/>
    </row>
    <row r="73" spans="1:10" ht="15" x14ac:dyDescent="0.25">
      <c r="A73" s="915" t="s">
        <v>29</v>
      </c>
      <c r="B73" s="915"/>
      <c r="C73" s="255" t="e">
        <f>EDATE(BG!D2,-6)</f>
        <v>#NUM!</v>
      </c>
      <c r="D73" s="255" t="e">
        <f>EDATE(BG!D2,-5)</f>
        <v>#NUM!</v>
      </c>
      <c r="E73" s="255" t="e">
        <f>EDATE(BG!D2,-4)</f>
        <v>#NUM!</v>
      </c>
      <c r="F73" s="255" t="e">
        <f>EDATE(BG!D2,-3)</f>
        <v>#NUM!</v>
      </c>
      <c r="G73" s="255" t="e">
        <f>EDATE(BG!D2,-2)</f>
        <v>#NUM!</v>
      </c>
      <c r="H73" s="255" t="e">
        <f>EDATE(BG!D2,-1)</f>
        <v>#NUM!</v>
      </c>
      <c r="I73" s="245"/>
      <c r="J73" s="292"/>
    </row>
    <row r="74" spans="1:10" x14ac:dyDescent="0.2">
      <c r="A74" s="1050" t="s">
        <v>596</v>
      </c>
      <c r="B74" s="1051"/>
      <c r="C74" s="366" t="s">
        <v>185</v>
      </c>
      <c r="D74" s="366" t="s">
        <v>185</v>
      </c>
      <c r="E74" s="366" t="s">
        <v>185</v>
      </c>
      <c r="F74" s="366" t="s">
        <v>185</v>
      </c>
      <c r="G74" s="366" t="s">
        <v>185</v>
      </c>
      <c r="H74" s="366" t="s">
        <v>185</v>
      </c>
      <c r="I74" s="345"/>
      <c r="J74" s="332" t="str">
        <f>IF(SUM(C77:H77)&gt;0,"bitte hier"," ")</f>
        <v xml:space="preserve"> </v>
      </c>
    </row>
    <row r="75" spans="1:10" x14ac:dyDescent="0.2">
      <c r="A75" s="916" t="s">
        <v>47</v>
      </c>
      <c r="B75" s="916"/>
      <c r="C75" s="264"/>
      <c r="D75" s="264"/>
      <c r="E75" s="264"/>
      <c r="F75" s="264"/>
      <c r="G75" s="264"/>
      <c r="H75" s="264"/>
      <c r="I75" s="311"/>
      <c r="J75" s="367" t="str">
        <f>IF(SUM(C77:H77)&gt;0,"eintragen"," ")</f>
        <v xml:space="preserve"> </v>
      </c>
    </row>
    <row r="76" spans="1:10" x14ac:dyDescent="0.2">
      <c r="A76" s="917" t="s">
        <v>38</v>
      </c>
      <c r="B76" s="917"/>
      <c r="C76" s="266"/>
      <c r="D76" s="266"/>
      <c r="E76" s="266"/>
      <c r="F76" s="266"/>
      <c r="G76" s="266"/>
      <c r="H76" s="266"/>
      <c r="I76" s="368" t="str">
        <f>IF(SUM(C77:H77)&gt;0,"Beginn d."," ")</f>
        <v xml:space="preserve"> </v>
      </c>
      <c r="J76" s="1052"/>
    </row>
    <row r="77" spans="1:10" x14ac:dyDescent="0.2">
      <c r="A77" s="918" t="s">
        <v>242</v>
      </c>
      <c r="B77" s="918"/>
      <c r="C77" s="369"/>
      <c r="D77" s="369"/>
      <c r="E77" s="369"/>
      <c r="F77" s="369"/>
      <c r="G77" s="369"/>
      <c r="H77" s="369"/>
      <c r="I77" s="370" t="str">
        <f>IF(SUM(C77:H77)&gt;0,"Selbständigkeit:"," ")</f>
        <v xml:space="preserve"> </v>
      </c>
      <c r="J77" s="1053"/>
    </row>
    <row r="78" spans="1:10" x14ac:dyDescent="0.2">
      <c r="A78" s="239"/>
      <c r="B78" s="239"/>
      <c r="C78" s="248"/>
      <c r="D78" s="248"/>
      <c r="E78" s="142" t="s">
        <v>48</v>
      </c>
      <c r="F78" s="83">
        <f>SUM(C77:H77)</f>
        <v>0</v>
      </c>
      <c r="G78" s="81" t="s">
        <v>49</v>
      </c>
      <c r="H78" s="83" t="e">
        <f>ROUND((F78/J81),2)</f>
        <v>#NUM!</v>
      </c>
      <c r="I78" s="411" t="str">
        <f>IF(SUM(C77:H77)&gt;0,"Ende d."," ")</f>
        <v xml:space="preserve"> </v>
      </c>
      <c r="J78" s="1048"/>
    </row>
    <row r="79" spans="1:10" x14ac:dyDescent="0.2">
      <c r="A79" s="921" t="s">
        <v>50</v>
      </c>
      <c r="B79" s="922"/>
      <c r="C79" s="297"/>
      <c r="D79" s="297"/>
      <c r="E79" s="297"/>
      <c r="F79" s="297"/>
      <c r="G79" s="297"/>
      <c r="H79" s="297"/>
      <c r="I79" s="370" t="str">
        <f>IF(SUM(C77:H77)&gt;0,"Selbständigkeit:"," ")</f>
        <v xml:space="preserve"> </v>
      </c>
      <c r="J79" s="1049"/>
    </row>
    <row r="80" spans="1:10" x14ac:dyDescent="0.2">
      <c r="A80" s="923" t="s">
        <v>51</v>
      </c>
      <c r="B80" s="924"/>
      <c r="C80" s="298"/>
      <c r="D80" s="298"/>
      <c r="E80" s="298"/>
      <c r="F80" s="298"/>
      <c r="G80" s="298"/>
      <c r="H80" s="298"/>
      <c r="I80" s="1054" t="str">
        <f>IF(SUM(C77:H77)&gt;0,"Format: Monat Jahr"," ")</f>
        <v xml:space="preserve"> </v>
      </c>
      <c r="J80" s="1055"/>
    </row>
    <row r="81" spans="1:10" x14ac:dyDescent="0.2">
      <c r="A81" s="925" t="s">
        <v>52</v>
      </c>
      <c r="B81" s="925"/>
      <c r="C81" s="371"/>
      <c r="D81" s="371"/>
      <c r="E81" s="371"/>
      <c r="F81" s="371"/>
      <c r="G81" s="371"/>
      <c r="H81" s="371"/>
      <c r="I81" s="198" t="e">
        <f>IF(J76&lt;MEG!C6,6,DATEDIF(J76,MEG!E6,"m")+1)</f>
        <v>#NUM!</v>
      </c>
      <c r="J81" s="199" t="e">
        <f>IF(J78=ISBLANK(0),I81,IF(J76=ISBLANK(0),I82,DATEDIF(I84,J84,"m")+1))</f>
        <v>#NUM!</v>
      </c>
    </row>
    <row r="82" spans="1:10" x14ac:dyDescent="0.2">
      <c r="A82" s="1056" t="s">
        <v>54</v>
      </c>
      <c r="B82" s="1056"/>
      <c r="C82" s="413"/>
      <c r="D82" s="413"/>
      <c r="E82" s="413"/>
      <c r="F82" s="413"/>
      <c r="G82" s="413"/>
      <c r="H82" s="413"/>
      <c r="I82" s="198" t="e">
        <f>IF(J78&lt;MEG!C6,6,DATEDIF(MEG!C6,J78,"m")+1)</f>
        <v>#NUM!</v>
      </c>
      <c r="J82" s="199"/>
    </row>
    <row r="83" spans="1:10" x14ac:dyDescent="0.2">
      <c r="A83" s="1057"/>
      <c r="B83" s="1057"/>
      <c r="C83" s="126" t="s">
        <v>48</v>
      </c>
      <c r="D83" s="83">
        <f>SUM(C81:H82)</f>
        <v>0</v>
      </c>
      <c r="E83" s="81" t="s">
        <v>49</v>
      </c>
      <c r="F83" s="83" t="e">
        <f>ROUND((D83/J81),2)</f>
        <v>#NUM!</v>
      </c>
      <c r="G83" s="90" t="s">
        <v>53</v>
      </c>
      <c r="H83" s="91" t="e">
        <f>IF((H78-F83)&lt;0,0,(H78-F83))</f>
        <v>#NUM!</v>
      </c>
      <c r="I83" s="81"/>
      <c r="J83" s="81"/>
    </row>
    <row r="84" spans="1:10" x14ac:dyDescent="0.2">
      <c r="A84" s="239"/>
      <c r="B84" s="292"/>
      <c r="C84" s="373"/>
      <c r="D84" s="373"/>
      <c r="E84" s="373"/>
      <c r="F84" s="373"/>
      <c r="G84" s="373"/>
      <c r="H84" s="374"/>
      <c r="I84" s="179" t="e">
        <f>IF(J76&lt;MEG!C6,MEG!C6,J76)</f>
        <v>#NUM!</v>
      </c>
      <c r="J84" s="179" t="e">
        <f>IF(J78&gt;MEG!E6,MEG!E6,J78)</f>
        <v>#NUM!</v>
      </c>
    </row>
    <row r="85" spans="1:10" x14ac:dyDescent="0.2">
      <c r="A85" s="925" t="s">
        <v>54</v>
      </c>
      <c r="B85" s="925"/>
      <c r="C85" s="302">
        <f t="shared" ref="C85:H85" si="13">SUM(C88,(C86*ROUND(C87,0)*0.2))</f>
        <v>0</v>
      </c>
      <c r="D85" s="302">
        <f t="shared" si="13"/>
        <v>0</v>
      </c>
      <c r="E85" s="302">
        <f t="shared" si="13"/>
        <v>0</v>
      </c>
      <c r="F85" s="302">
        <f t="shared" si="13"/>
        <v>0</v>
      </c>
      <c r="G85" s="302">
        <f t="shared" si="13"/>
        <v>0</v>
      </c>
      <c r="H85" s="302">
        <f t="shared" si="13"/>
        <v>0</v>
      </c>
      <c r="I85" s="203" t="e">
        <f>I84</f>
        <v>#NUM!</v>
      </c>
      <c r="J85" s="179" t="e">
        <f>IF(J78=ISBLANK(0),H73+1,J78)</f>
        <v>#NUM!</v>
      </c>
    </row>
    <row r="86" spans="1:10" x14ac:dyDescent="0.2">
      <c r="A86" s="927" t="s">
        <v>234</v>
      </c>
      <c r="B86" s="928"/>
      <c r="C86" s="375"/>
      <c r="D86" s="375"/>
      <c r="E86" s="375"/>
      <c r="F86" s="375"/>
      <c r="G86" s="375"/>
      <c r="H86" s="375"/>
      <c r="I86" s="202" t="e">
        <f>IF(I84&gt;C73,0,IF(J85&lt;C73,0,H83))</f>
        <v>#NUM!</v>
      </c>
      <c r="J86" s="81"/>
    </row>
    <row r="87" spans="1:10" x14ac:dyDescent="0.2">
      <c r="A87" s="927" t="s">
        <v>235</v>
      </c>
      <c r="B87" s="928"/>
      <c r="C87" s="375"/>
      <c r="D87" s="375"/>
      <c r="E87" s="375"/>
      <c r="F87" s="375"/>
      <c r="G87" s="375"/>
      <c r="H87" s="375"/>
      <c r="I87" s="202" t="e">
        <f>IF(I84&gt;D73,0,IF(J85&lt;D73,0,H83))</f>
        <v>#NUM!</v>
      </c>
      <c r="J87" s="81"/>
    </row>
    <row r="88" spans="1:10" x14ac:dyDescent="0.2">
      <c r="A88" s="929" t="s">
        <v>237</v>
      </c>
      <c r="B88" s="930"/>
      <c r="C88" s="372"/>
      <c r="D88" s="372"/>
      <c r="E88" s="372"/>
      <c r="F88" s="372"/>
      <c r="G88" s="372"/>
      <c r="H88" s="372"/>
      <c r="I88" s="202" t="e">
        <f>IF(I84&gt;E73,0,IF(J85&lt;E73,0,H83))</f>
        <v>#NUM!</v>
      </c>
      <c r="J88" s="81"/>
    </row>
    <row r="89" spans="1:10" x14ac:dyDescent="0.2">
      <c r="A89" s="926" t="s">
        <v>55</v>
      </c>
      <c r="B89" s="926"/>
      <c r="C89" s="305">
        <f t="shared" ref="C89:H89" si="14">C90*C91</f>
        <v>0</v>
      </c>
      <c r="D89" s="305">
        <f t="shared" si="14"/>
        <v>0</v>
      </c>
      <c r="E89" s="305">
        <f t="shared" si="14"/>
        <v>0</v>
      </c>
      <c r="F89" s="305">
        <f t="shared" si="14"/>
        <v>0</v>
      </c>
      <c r="G89" s="305">
        <f t="shared" si="14"/>
        <v>0</v>
      </c>
      <c r="H89" s="305">
        <f t="shared" si="14"/>
        <v>0</v>
      </c>
      <c r="I89" s="202" t="e">
        <f>IF(I84&gt;F73,0,IF(J85&lt;F73,0,H83))</f>
        <v>#NUM!</v>
      </c>
      <c r="J89" s="83"/>
    </row>
    <row r="90" spans="1:10" x14ac:dyDescent="0.2">
      <c r="A90" s="898" t="s">
        <v>238</v>
      </c>
      <c r="B90" s="899"/>
      <c r="C90" s="375"/>
      <c r="D90" s="375"/>
      <c r="E90" s="375"/>
      <c r="F90" s="375"/>
      <c r="G90" s="375"/>
      <c r="H90" s="375"/>
      <c r="I90" s="202" t="e">
        <f>IF(I84&gt;G73,0,IF(J85&lt;G73,0,H83))</f>
        <v>#NUM!</v>
      </c>
      <c r="J90" s="81"/>
    </row>
    <row r="91" spans="1:10" x14ac:dyDescent="0.2">
      <c r="A91" s="942" t="s">
        <v>239</v>
      </c>
      <c r="B91" s="943"/>
      <c r="C91" s="376"/>
      <c r="D91" s="376"/>
      <c r="E91" s="376"/>
      <c r="F91" s="376"/>
      <c r="G91" s="376"/>
      <c r="H91" s="376"/>
      <c r="I91" s="202" t="e">
        <f>IF(I84&gt;H73,0,IF(J85&lt;H73,0,H83))</f>
        <v>#NUM!</v>
      </c>
      <c r="J91" s="81"/>
    </row>
    <row r="92" spans="1:10" x14ac:dyDescent="0.2">
      <c r="A92" s="937" t="s">
        <v>236</v>
      </c>
      <c r="B92" s="938"/>
      <c r="C92" s="307"/>
      <c r="D92" s="307"/>
      <c r="E92" s="307"/>
      <c r="F92" s="307"/>
      <c r="G92" s="307"/>
      <c r="H92" s="307"/>
      <c r="I92" s="356"/>
      <c r="J92" s="83"/>
    </row>
    <row r="93" spans="1:10" x14ac:dyDescent="0.2">
      <c r="A93" s="903" t="s">
        <v>56</v>
      </c>
      <c r="B93" s="903"/>
      <c r="C93" s="307"/>
      <c r="D93" s="307"/>
      <c r="E93" s="307"/>
      <c r="F93" s="307"/>
      <c r="G93" s="307"/>
      <c r="H93" s="307"/>
      <c r="I93" s="311"/>
      <c r="J93" s="294"/>
    </row>
    <row r="94" spans="1:10" x14ac:dyDescent="0.2">
      <c r="A94" s="903" t="s">
        <v>57</v>
      </c>
      <c r="B94" s="903"/>
      <c r="C94" s="307"/>
      <c r="D94" s="307"/>
      <c r="E94" s="307"/>
      <c r="F94" s="307"/>
      <c r="G94" s="307"/>
      <c r="H94" s="307"/>
      <c r="I94" s="311"/>
      <c r="J94" s="294"/>
    </row>
    <row r="95" spans="1:10" x14ac:dyDescent="0.2">
      <c r="A95" s="903" t="s">
        <v>58</v>
      </c>
      <c r="B95" s="903"/>
      <c r="C95" s="308"/>
      <c r="D95" s="308"/>
      <c r="E95" s="308"/>
      <c r="F95" s="308"/>
      <c r="G95" s="308"/>
      <c r="H95" s="308"/>
      <c r="I95" s="311"/>
      <c r="J95" s="294"/>
    </row>
    <row r="96" spans="1:10" x14ac:dyDescent="0.2">
      <c r="A96" s="239"/>
      <c r="B96" s="239"/>
      <c r="C96" s="93" t="e">
        <f>C75+I86</f>
        <v>#NUM!</v>
      </c>
      <c r="D96" s="93" t="e">
        <f>D75+I87</f>
        <v>#NUM!</v>
      </c>
      <c r="E96" s="93" t="e">
        <f>E75+I88</f>
        <v>#NUM!</v>
      </c>
      <c r="F96" s="93" t="e">
        <f>F75+I89</f>
        <v>#NUM!</v>
      </c>
      <c r="G96" s="93" t="e">
        <f>G75+I90</f>
        <v>#NUM!</v>
      </c>
      <c r="H96" s="93" t="e">
        <f>H75+I91</f>
        <v>#NUM!</v>
      </c>
      <c r="I96" s="239"/>
      <c r="J96" s="239"/>
    </row>
    <row r="97" spans="1:10" x14ac:dyDescent="0.2">
      <c r="A97" s="903" t="s">
        <v>59</v>
      </c>
      <c r="B97" s="903"/>
      <c r="C97" s="287" t="e">
        <f>IF(C74="ja",Grundfreibeträge!G53,Grundfreibeträge!F53)</f>
        <v>#NUM!</v>
      </c>
      <c r="D97" s="287" t="e">
        <f>IF(D74="ja",Grundfreibeträge!G54,Grundfreibeträge!F54)</f>
        <v>#NUM!</v>
      </c>
      <c r="E97" s="287" t="e">
        <f>IF(E74="ja",Grundfreibeträge!G55,Grundfreibeträge!F55)</f>
        <v>#NUM!</v>
      </c>
      <c r="F97" s="287" t="e">
        <f>IF(F74="ja",Grundfreibeträge!G56,Grundfreibeträge!F56)</f>
        <v>#NUM!</v>
      </c>
      <c r="G97" s="287" t="e">
        <f>IF(G74="ja",Grundfreibeträge!G57,Grundfreibeträge!F57)</f>
        <v>#NUM!</v>
      </c>
      <c r="H97" s="287" t="e">
        <f>IF(H74="ja",Grundfreibeträge!G58,Grundfreibeträge!F58)</f>
        <v>#NUM!</v>
      </c>
      <c r="I97" s="239"/>
      <c r="J97" s="239"/>
    </row>
    <row r="98" spans="1:10" x14ac:dyDescent="0.2">
      <c r="A98" s="937" t="s">
        <v>597</v>
      </c>
      <c r="B98" s="938"/>
      <c r="C98" s="287" t="e">
        <f>MAX((MIN(C96,520)-C97)*0.2,0)</f>
        <v>#NUM!</v>
      </c>
      <c r="D98" s="287" t="e">
        <f t="shared" ref="D98:H98" si="15">MAX((MIN(D96,520)-D97)*0.2,0)</f>
        <v>#NUM!</v>
      </c>
      <c r="E98" s="287" t="e">
        <f t="shared" si="15"/>
        <v>#NUM!</v>
      </c>
      <c r="F98" s="287" t="e">
        <f t="shared" si="15"/>
        <v>#NUM!</v>
      </c>
      <c r="G98" s="287" t="e">
        <f t="shared" si="15"/>
        <v>#NUM!</v>
      </c>
      <c r="H98" s="287" t="e">
        <f t="shared" si="15"/>
        <v>#NUM!</v>
      </c>
      <c r="I98" s="778"/>
      <c r="J98" s="778"/>
    </row>
    <row r="99" spans="1:10" x14ac:dyDescent="0.2">
      <c r="A99" s="903" t="s">
        <v>60</v>
      </c>
      <c r="B99" s="903"/>
      <c r="C99" s="287" t="e">
        <f>MAX(MIN(C96-520,480)*0.3,0)</f>
        <v>#NUM!</v>
      </c>
      <c r="D99" s="287" t="e">
        <f t="shared" ref="D99:H99" si="16">MAX(MIN(D96-520,480)*0.3,0)</f>
        <v>#NUM!</v>
      </c>
      <c r="E99" s="287" t="e">
        <f t="shared" si="16"/>
        <v>#NUM!</v>
      </c>
      <c r="F99" s="287" t="e">
        <f t="shared" si="16"/>
        <v>#NUM!</v>
      </c>
      <c r="G99" s="287" t="e">
        <f t="shared" si="16"/>
        <v>#NUM!</v>
      </c>
      <c r="H99" s="287" t="e">
        <f t="shared" si="16"/>
        <v>#NUM!</v>
      </c>
      <c r="I99" s="239"/>
      <c r="J99" s="239"/>
    </row>
    <row r="100" spans="1:10" x14ac:dyDescent="0.2">
      <c r="A100" s="903" t="s">
        <v>61</v>
      </c>
      <c r="B100" s="903"/>
      <c r="C100" s="287" t="e">
        <f>IF(Grundfreibeträge!Q6="Kind ü18",Grundfreibeträge!H53,IF(C96&lt;1000,0,IF(C96&gt;=1500,50,ROUND((C96-1000)*10%,2))))</f>
        <v>#NUM!</v>
      </c>
      <c r="D100" s="287" t="e">
        <f>IF(Grundfreibeträge!Q6="Kind ü18",Grundfreibeträge!H54,IF(D96&lt;1000,0,IF(D96&gt;=1500,50,ROUND((D96-1000)*10%,2))))</f>
        <v>#NUM!</v>
      </c>
      <c r="E100" s="287" t="e">
        <f>IF(Grundfreibeträge!Q6="Kind ü18",Grundfreibeträge!H55,IF(E96&lt;1000,0,IF(E96&gt;=1500,50,ROUND((E96-1000)*10%,2))))</f>
        <v>#NUM!</v>
      </c>
      <c r="F100" s="287" t="e">
        <f>IF(Grundfreibeträge!Q6="Kind ü18",Grundfreibeträge!H56,IF(F96&lt;1000,0,IF(F96&gt;=1500,50,ROUND((F96-1000)*10%,2))))</f>
        <v>#NUM!</v>
      </c>
      <c r="G100" s="287" t="e">
        <f>IF(Grundfreibeträge!Q6="Kind ü18",Grundfreibeträge!H57,IF(G96&lt;1000,0,IF(G96&gt;=1500,50,ROUND((G96-1000)*10%,2))))</f>
        <v>#NUM!</v>
      </c>
      <c r="H100" s="287" t="e">
        <f>IF(Grundfreibeträge!Q6="Kind ü18",Grundfreibeträge!H58,IF(H96&lt;1000,0,IF(H96&gt;=1500,50,ROUND((H96-1000)*10%,2))))</f>
        <v>#NUM!</v>
      </c>
      <c r="I100" s="288" t="s">
        <v>48</v>
      </c>
      <c r="J100" s="239"/>
    </row>
    <row r="101" spans="1:10" x14ac:dyDescent="0.2">
      <c r="A101" s="903" t="s">
        <v>62</v>
      </c>
      <c r="B101" s="903"/>
      <c r="C101" s="287" t="e">
        <f>IF(C96=0,0,MAX(C96-C79-C97-C98-C99-C100,0))</f>
        <v>#NUM!</v>
      </c>
      <c r="D101" s="287" t="e">
        <f t="shared" ref="D101:H101" si="17">IF(D96=0,0,MAX(D96-D79-D97-D98-D99-D100,0))</f>
        <v>#NUM!</v>
      </c>
      <c r="E101" s="287" t="e">
        <f t="shared" si="17"/>
        <v>#NUM!</v>
      </c>
      <c r="F101" s="287" t="e">
        <f t="shared" si="17"/>
        <v>#NUM!</v>
      </c>
      <c r="G101" s="287" t="e">
        <f t="shared" si="17"/>
        <v>#NUM!</v>
      </c>
      <c r="H101" s="287" t="e">
        <f t="shared" si="17"/>
        <v>#NUM!</v>
      </c>
      <c r="I101" s="287" t="e">
        <f>SUM(C101:H101)</f>
        <v>#NUM!</v>
      </c>
      <c r="J101" s="239"/>
    </row>
    <row r="102" spans="1:10" x14ac:dyDescent="0.2">
      <c r="A102" s="239"/>
      <c r="B102" s="312"/>
      <c r="C102" s="83" t="e">
        <f>C75+C76+I86</f>
        <v>#NUM!</v>
      </c>
      <c r="D102" s="83" t="e">
        <f>D75+D76+I87</f>
        <v>#NUM!</v>
      </c>
      <c r="E102" s="83" t="e">
        <f>E75+E76+I88</f>
        <v>#NUM!</v>
      </c>
      <c r="F102" s="83" t="e">
        <f>F75+F76+I89</f>
        <v>#NUM!</v>
      </c>
      <c r="G102" s="83" t="e">
        <f>G75+G76+I90</f>
        <v>#NUM!</v>
      </c>
      <c r="H102" s="83" t="e">
        <f>H75+H76+I91</f>
        <v>#NUM!</v>
      </c>
      <c r="I102" s="294"/>
      <c r="J102" s="239"/>
    </row>
    <row r="103" spans="1:10" ht="15" x14ac:dyDescent="0.25">
      <c r="A103" s="239"/>
      <c r="B103" s="239"/>
      <c r="C103" s="83" t="e">
        <f t="shared" ref="C103:H103" si="18">IF(C102=0,0,IF(C102&lt;=100,0,IF(C102&lt;=1000,(C102-100)*20%,IF(C102&gt;1000,180))))</f>
        <v>#NUM!</v>
      </c>
      <c r="D103" s="83" t="e">
        <f t="shared" si="18"/>
        <v>#NUM!</v>
      </c>
      <c r="E103" s="83" t="e">
        <f t="shared" si="18"/>
        <v>#NUM!</v>
      </c>
      <c r="F103" s="83" t="e">
        <f t="shared" si="18"/>
        <v>#NUM!</v>
      </c>
      <c r="G103" s="83" t="e">
        <f t="shared" si="18"/>
        <v>#NUM!</v>
      </c>
      <c r="H103" s="83" t="e">
        <f t="shared" si="18"/>
        <v>#NUM!</v>
      </c>
      <c r="I103" s="313"/>
      <c r="J103" s="239"/>
    </row>
    <row r="104" spans="1:10" ht="15" x14ac:dyDescent="0.25">
      <c r="A104" s="909" t="s">
        <v>63</v>
      </c>
      <c r="B104" s="909"/>
      <c r="C104" s="97" t="e">
        <f t="shared" ref="C104:H104" si="19">IF(C102&lt;1000,0,IF(C102&gt;=1500,50,ROUND((C102-1000)*10%,2)))</f>
        <v>#NUM!</v>
      </c>
      <c r="D104" s="97" t="e">
        <f t="shared" si="19"/>
        <v>#NUM!</v>
      </c>
      <c r="E104" s="97" t="e">
        <f t="shared" si="19"/>
        <v>#NUM!</v>
      </c>
      <c r="F104" s="97" t="e">
        <f t="shared" si="19"/>
        <v>#NUM!</v>
      </c>
      <c r="G104" s="97" t="e">
        <f t="shared" si="19"/>
        <v>#NUM!</v>
      </c>
      <c r="H104" s="97" t="e">
        <f t="shared" si="19"/>
        <v>#NUM!</v>
      </c>
      <c r="I104" s="313"/>
      <c r="J104" s="239"/>
    </row>
    <row r="105" spans="1:10" x14ac:dyDescent="0.2">
      <c r="A105" s="908" t="s">
        <v>64</v>
      </c>
      <c r="B105" s="908"/>
      <c r="C105" s="296">
        <f t="shared" ref="C105:H105" si="20">IF(C76=0,0,(C103+C104)-(C99+C100))</f>
        <v>0</v>
      </c>
      <c r="D105" s="296">
        <f t="shared" si="20"/>
        <v>0</v>
      </c>
      <c r="E105" s="296">
        <f t="shared" si="20"/>
        <v>0</v>
      </c>
      <c r="F105" s="296">
        <f t="shared" si="20"/>
        <v>0</v>
      </c>
      <c r="G105" s="296">
        <f t="shared" si="20"/>
        <v>0</v>
      </c>
      <c r="H105" s="296">
        <f t="shared" si="20"/>
        <v>0</v>
      </c>
      <c r="I105" s="314" t="s">
        <v>48</v>
      </c>
      <c r="J105" s="239"/>
    </row>
    <row r="106" spans="1:10" x14ac:dyDescent="0.2">
      <c r="A106" s="810" t="s">
        <v>65</v>
      </c>
      <c r="B106" s="810"/>
      <c r="C106" s="287">
        <f t="shared" ref="C106:H106" si="21">IF(C76=0,0,IF(AND(C76&gt;0,C96&gt;0),C76-C80-C105,IF(C76-C80-C105-C97&lt;0,0,C76-C80-C105-C97)))</f>
        <v>0</v>
      </c>
      <c r="D106" s="287">
        <f t="shared" si="21"/>
        <v>0</v>
      </c>
      <c r="E106" s="287">
        <f t="shared" si="21"/>
        <v>0</v>
      </c>
      <c r="F106" s="287">
        <f t="shared" si="21"/>
        <v>0</v>
      </c>
      <c r="G106" s="287">
        <f t="shared" si="21"/>
        <v>0</v>
      </c>
      <c r="H106" s="287">
        <f t="shared" si="21"/>
        <v>0</v>
      </c>
      <c r="I106" s="287">
        <f>SUM(C106:H106)</f>
        <v>0</v>
      </c>
      <c r="J106" s="239"/>
    </row>
    <row r="107" spans="1:10" x14ac:dyDescent="0.2">
      <c r="A107" s="239"/>
      <c r="B107" s="239"/>
      <c r="C107" s="239"/>
      <c r="D107" s="239"/>
      <c r="E107" s="239"/>
      <c r="F107" s="239"/>
      <c r="G107" s="239"/>
      <c r="H107" s="239"/>
      <c r="I107" s="239"/>
      <c r="J107" s="239"/>
    </row>
    <row r="108" spans="1:10" x14ac:dyDescent="0.2">
      <c r="A108" s="239"/>
      <c r="B108" s="239"/>
      <c r="C108" s="239"/>
      <c r="D108" s="239"/>
      <c r="E108" s="239"/>
      <c r="F108" s="239"/>
      <c r="G108" s="239"/>
      <c r="H108" s="239"/>
      <c r="I108" s="239"/>
      <c r="J108" s="239"/>
    </row>
    <row r="109" spans="1:10" x14ac:dyDescent="0.2">
      <c r="A109" s="239"/>
      <c r="B109" s="239"/>
      <c r="C109" s="239"/>
      <c r="D109" s="239"/>
      <c r="E109" s="239"/>
      <c r="F109" s="239"/>
      <c r="G109" s="239"/>
      <c r="H109" s="239"/>
      <c r="I109" s="239"/>
      <c r="J109" s="239"/>
    </row>
    <row r="110" spans="1:10" ht="15" x14ac:dyDescent="0.25">
      <c r="A110" s="239"/>
      <c r="B110" s="944" t="s">
        <v>80</v>
      </c>
      <c r="C110" s="945"/>
      <c r="D110" s="946"/>
      <c r="E110" s="350" t="s">
        <v>48</v>
      </c>
      <c r="F110" s="377" t="s">
        <v>49</v>
      </c>
      <c r="G110" s="239"/>
      <c r="H110" s="239"/>
      <c r="I110" s="239"/>
      <c r="J110" s="239"/>
    </row>
    <row r="111" spans="1:10" x14ac:dyDescent="0.2">
      <c r="A111" s="239"/>
      <c r="B111" s="947" t="s">
        <v>81</v>
      </c>
      <c r="C111" s="948"/>
      <c r="D111" s="949"/>
      <c r="E111" s="352" t="e">
        <f>I101+I106</f>
        <v>#NUM!</v>
      </c>
      <c r="F111" s="352" t="e">
        <f>E111/6</f>
        <v>#NUM!</v>
      </c>
      <c r="G111" s="239"/>
      <c r="H111" s="239"/>
      <c r="I111" s="239"/>
      <c r="J111" s="239"/>
    </row>
    <row r="112" spans="1:10" x14ac:dyDescent="0.2">
      <c r="A112" s="239"/>
      <c r="B112" s="947" t="s">
        <v>82</v>
      </c>
      <c r="C112" s="948"/>
      <c r="D112" s="949"/>
      <c r="E112" s="352">
        <f>I64</f>
        <v>0</v>
      </c>
      <c r="F112" s="352">
        <f>E112/6</f>
        <v>0</v>
      </c>
      <c r="G112" s="239"/>
      <c r="H112" s="239"/>
      <c r="I112" s="239"/>
      <c r="J112" s="239"/>
    </row>
    <row r="113" spans="1:10" ht="15" x14ac:dyDescent="0.25">
      <c r="A113" s="239"/>
      <c r="B113" s="239"/>
      <c r="C113" s="239"/>
      <c r="D113" s="239"/>
      <c r="E113" s="378" t="s">
        <v>84</v>
      </c>
      <c r="F113" s="353" t="e">
        <f>F111+F112</f>
        <v>#NUM!</v>
      </c>
      <c r="G113" s="239"/>
      <c r="H113" s="239"/>
      <c r="I113" s="239"/>
      <c r="J113" s="239"/>
    </row>
    <row r="114" spans="1:10" x14ac:dyDescent="0.2">
      <c r="A114" s="239"/>
      <c r="B114" s="239"/>
      <c r="C114" s="239"/>
      <c r="D114" s="239"/>
      <c r="E114" s="239"/>
      <c r="F114" s="239"/>
      <c r="G114" s="239"/>
      <c r="H114" s="239"/>
      <c r="I114" s="239"/>
      <c r="J114" s="239"/>
    </row>
    <row r="115" spans="1:10" x14ac:dyDescent="0.2">
      <c r="A115" s="239"/>
      <c r="B115" s="239"/>
      <c r="C115" s="239"/>
      <c r="D115" s="239"/>
      <c r="E115" s="239"/>
      <c r="F115" s="239"/>
      <c r="G115" s="239"/>
      <c r="H115" s="239"/>
      <c r="I115" s="239"/>
      <c r="J115" s="239"/>
    </row>
    <row r="116" spans="1:10" x14ac:dyDescent="0.2">
      <c r="A116" s="239"/>
      <c r="B116" s="239"/>
      <c r="C116" s="239"/>
      <c r="D116" s="239"/>
      <c r="E116" s="239"/>
      <c r="F116" s="239"/>
      <c r="G116" s="239"/>
      <c r="H116" s="239"/>
      <c r="I116" s="239"/>
      <c r="J116" s="239"/>
    </row>
    <row r="117" spans="1:10" x14ac:dyDescent="0.2">
      <c r="A117" s="239"/>
      <c r="B117" s="239"/>
      <c r="C117" s="239"/>
      <c r="D117" s="239"/>
      <c r="E117" s="239"/>
      <c r="F117" s="239"/>
      <c r="G117" s="239"/>
      <c r="H117" s="239"/>
      <c r="I117" s="239"/>
      <c r="J117" s="239"/>
    </row>
    <row r="118" spans="1:10" x14ac:dyDescent="0.2">
      <c r="A118" s="239"/>
      <c r="B118" s="239"/>
      <c r="C118" s="239"/>
      <c r="D118" s="239"/>
      <c r="E118" s="239"/>
      <c r="F118" s="239"/>
      <c r="G118" s="239"/>
      <c r="H118" s="239"/>
      <c r="I118" s="239"/>
      <c r="J118" s="239"/>
    </row>
    <row r="119" spans="1:10" x14ac:dyDescent="0.2">
      <c r="A119" s="239"/>
      <c r="B119" s="239"/>
      <c r="C119" s="239"/>
      <c r="D119" s="239"/>
      <c r="E119" s="239"/>
      <c r="F119" s="1058" t="s">
        <v>85</v>
      </c>
      <c r="G119" s="1058"/>
      <c r="H119" s="379"/>
      <c r="I119" s="239"/>
      <c r="J119" s="239"/>
    </row>
    <row r="120" spans="1:10" x14ac:dyDescent="0.2">
      <c r="A120" s="239"/>
      <c r="B120" s="239"/>
      <c r="C120" s="239"/>
      <c r="D120" s="239"/>
      <c r="E120" s="239"/>
      <c r="F120" s="1059" t="s">
        <v>86</v>
      </c>
      <c r="G120" s="1059"/>
      <c r="H120" s="380"/>
      <c r="I120" s="239"/>
      <c r="J120" s="239"/>
    </row>
    <row r="121" spans="1:10" ht="15" x14ac:dyDescent="0.25">
      <c r="A121" s="239"/>
      <c r="B121" s="239"/>
      <c r="C121" s="239"/>
      <c r="D121" s="239"/>
      <c r="E121" s="239"/>
      <c r="F121" s="1060" t="s">
        <v>87</v>
      </c>
      <c r="G121" s="1060"/>
      <c r="H121" s="381" t="e">
        <f>IF(Kurzantrag!C19&gt;0,Kurzantrag!C19,ROUND(F113*45%,2))</f>
        <v>#NUM!</v>
      </c>
      <c r="I121" s="239"/>
      <c r="J121" s="239"/>
    </row>
    <row r="122" spans="1:10" x14ac:dyDescent="0.2">
      <c r="A122" s="239"/>
      <c r="B122" s="239"/>
      <c r="C122" s="239"/>
      <c r="D122" s="239"/>
      <c r="E122" s="239"/>
      <c r="F122" s="239"/>
      <c r="G122" s="239"/>
      <c r="H122" s="239"/>
      <c r="I122" s="239"/>
      <c r="J122" s="239"/>
    </row>
    <row r="123" spans="1:10" x14ac:dyDescent="0.2">
      <c r="A123" s="322"/>
      <c r="B123" s="322"/>
      <c r="C123" s="322"/>
      <c r="D123" s="322"/>
      <c r="E123" s="322"/>
      <c r="F123" s="322"/>
      <c r="G123" s="322"/>
      <c r="H123" s="322"/>
      <c r="I123" s="322"/>
      <c r="J123" s="322"/>
    </row>
    <row r="124" spans="1:10" x14ac:dyDescent="0.2">
      <c r="A124" s="239"/>
      <c r="B124" s="239"/>
      <c r="C124" s="239"/>
      <c r="D124" s="239"/>
      <c r="E124" s="239"/>
      <c r="F124" s="239"/>
      <c r="G124" s="239"/>
      <c r="H124" s="239"/>
      <c r="I124" s="239"/>
      <c r="J124" s="239"/>
    </row>
    <row r="125" spans="1:10" x14ac:dyDescent="0.2">
      <c r="A125" s="2"/>
      <c r="B125" s="2"/>
      <c r="C125" s="2"/>
      <c r="D125" s="2"/>
      <c r="E125" s="2"/>
      <c r="F125" s="2"/>
      <c r="G125" s="2"/>
      <c r="H125" s="2"/>
      <c r="I125" s="2"/>
      <c r="J125" s="2"/>
    </row>
    <row r="126" spans="1:10" x14ac:dyDescent="0.2">
      <c r="A126" s="2"/>
      <c r="B126" s="2"/>
      <c r="C126" s="2"/>
      <c r="D126" s="2"/>
      <c r="E126" s="2"/>
      <c r="F126" s="2"/>
      <c r="G126" s="2"/>
      <c r="H126" s="2"/>
      <c r="I126" s="2"/>
      <c r="J126" s="2"/>
    </row>
    <row r="127" spans="1:10" x14ac:dyDescent="0.2">
      <c r="A127" s="2"/>
      <c r="B127" s="2"/>
      <c r="C127" s="2"/>
      <c r="D127" s="2"/>
      <c r="E127" s="2"/>
      <c r="F127" s="2"/>
      <c r="G127" s="2"/>
      <c r="H127" s="2"/>
      <c r="I127" s="2"/>
      <c r="J127" s="2"/>
    </row>
    <row r="128" spans="1:10" x14ac:dyDescent="0.2">
      <c r="A128" s="2"/>
      <c r="B128" s="2"/>
      <c r="C128" s="2"/>
      <c r="D128" s="2"/>
      <c r="E128" s="2"/>
      <c r="F128" s="2"/>
      <c r="G128" s="2"/>
      <c r="H128" s="2"/>
      <c r="I128" s="2"/>
      <c r="J128" s="2"/>
    </row>
    <row r="129" spans="1:10" x14ac:dyDescent="0.2">
      <c r="A129" s="2"/>
      <c r="B129" s="2"/>
      <c r="C129" s="2"/>
      <c r="D129" s="2"/>
      <c r="E129" s="2"/>
      <c r="F129" s="2"/>
      <c r="G129" s="2"/>
      <c r="H129" s="2"/>
      <c r="I129" s="2"/>
      <c r="J129" s="2"/>
    </row>
    <row r="130" spans="1:10" x14ac:dyDescent="0.2">
      <c r="A130" s="2"/>
      <c r="B130" s="2"/>
      <c r="C130" s="2"/>
      <c r="D130" s="2"/>
      <c r="E130" s="2"/>
      <c r="F130" s="2"/>
      <c r="G130" s="2"/>
      <c r="H130" s="2"/>
      <c r="I130" s="2"/>
      <c r="J130" s="2"/>
    </row>
    <row r="131" spans="1:10" x14ac:dyDescent="0.2">
      <c r="A131" s="2"/>
      <c r="B131" s="2"/>
      <c r="C131" s="2"/>
      <c r="D131" s="2"/>
      <c r="E131" s="2"/>
      <c r="F131" s="2"/>
      <c r="G131" s="2"/>
      <c r="H131" s="2"/>
      <c r="I131" s="2"/>
      <c r="J131" s="2"/>
    </row>
  </sheetData>
  <sheetProtection algorithmName="SHA-512" hashValue="W77g3NIywj2DywXqeh5sWq7NisFIJ3RhOmJ9Igbq/b71F7ffJjEMCQyJVtczLo7AqwnWIJNWi2I+Oji75cvlpw==" saltValue="81oAPNCKufyTyo6iE/nGGg==" spinCount="100000" sheet="1" formatCells="0" formatColumns="0" formatRows="0" insertColumns="0" insertRows="0" insertHyperlinks="0" deleteColumns="0" deleteRows="0" sort="0" autoFilter="0" pivotTables="0"/>
  <mergeCells count="85">
    <mergeCell ref="B111:D111"/>
    <mergeCell ref="B112:D112"/>
    <mergeCell ref="F119:G119"/>
    <mergeCell ref="F120:G120"/>
    <mergeCell ref="F121:G121"/>
    <mergeCell ref="B110:D110"/>
    <mergeCell ref="A92:B92"/>
    <mergeCell ref="A93:B93"/>
    <mergeCell ref="A94:B94"/>
    <mergeCell ref="A95:B95"/>
    <mergeCell ref="A97:B97"/>
    <mergeCell ref="A99:B99"/>
    <mergeCell ref="A100:B100"/>
    <mergeCell ref="A101:B101"/>
    <mergeCell ref="A104:B104"/>
    <mergeCell ref="A105:B105"/>
    <mergeCell ref="A106:B106"/>
    <mergeCell ref="A98:B98"/>
    <mergeCell ref="A91:B91"/>
    <mergeCell ref="A80:B80"/>
    <mergeCell ref="I80:J80"/>
    <mergeCell ref="A81:B81"/>
    <mergeCell ref="A82:B82"/>
    <mergeCell ref="A83:B83"/>
    <mergeCell ref="A85:B85"/>
    <mergeCell ref="A86:B86"/>
    <mergeCell ref="A87:B87"/>
    <mergeCell ref="A88:B88"/>
    <mergeCell ref="A89:B89"/>
    <mergeCell ref="A90:B90"/>
    <mergeCell ref="J78:J79"/>
    <mergeCell ref="A79:B79"/>
    <mergeCell ref="A57:B57"/>
    <mergeCell ref="A58:B58"/>
    <mergeCell ref="A59:B59"/>
    <mergeCell ref="A60:B60"/>
    <mergeCell ref="C72:H72"/>
    <mergeCell ref="A73:B73"/>
    <mergeCell ref="A74:B74"/>
    <mergeCell ref="A75:B75"/>
    <mergeCell ref="A76:B76"/>
    <mergeCell ref="J76:J77"/>
    <mergeCell ref="A77:B77"/>
    <mergeCell ref="A56:B56"/>
    <mergeCell ref="A43:B43"/>
    <mergeCell ref="A44:B44"/>
    <mergeCell ref="A45:B45"/>
    <mergeCell ref="A46:B46"/>
    <mergeCell ref="A47:B47"/>
    <mergeCell ref="A48:B48"/>
    <mergeCell ref="A49:B49"/>
    <mergeCell ref="A50:B50"/>
    <mergeCell ref="A51:B51"/>
    <mergeCell ref="A52:B52"/>
    <mergeCell ref="A53:B53"/>
    <mergeCell ref="A42:B42"/>
    <mergeCell ref="A25:B25"/>
    <mergeCell ref="A26:B26"/>
    <mergeCell ref="A27:B27"/>
    <mergeCell ref="A29:B29"/>
    <mergeCell ref="B30:C30"/>
    <mergeCell ref="B31:C31"/>
    <mergeCell ref="B32:C32"/>
    <mergeCell ref="A37:B37"/>
    <mergeCell ref="A38:B38"/>
    <mergeCell ref="A39:B39"/>
    <mergeCell ref="A41:B41"/>
    <mergeCell ref="A24:B24"/>
    <mergeCell ref="A9:B9"/>
    <mergeCell ref="A10:B10"/>
    <mergeCell ref="A11:B11"/>
    <mergeCell ref="A13:B13"/>
    <mergeCell ref="A14:B14"/>
    <mergeCell ref="A15:B15"/>
    <mergeCell ref="A16:B16"/>
    <mergeCell ref="A18:B18"/>
    <mergeCell ref="A20:B20"/>
    <mergeCell ref="A21:B21"/>
    <mergeCell ref="A22:B22"/>
    <mergeCell ref="A8:B8"/>
    <mergeCell ref="C1:H1"/>
    <mergeCell ref="A3:B3"/>
    <mergeCell ref="A4:B4"/>
    <mergeCell ref="A5:B5"/>
    <mergeCell ref="A6:B6"/>
  </mergeCells>
  <dataValidations count="3">
    <dataValidation type="decimal" allowBlank="1" showInputMessage="1" showErrorMessage="1" error="Der eingegebene Wert ist unzulässig. Bitte geben Sie eine Zahl ein, die größer 0 ist." sqref="C3:H6 C8:H11 C13:H16 C18:H22 C24:H27 C38:H39 C41:H41 C43:H45 C47:H49 C52:H53 C57:H59 C75:H77 C79:H82 C86:H88 C90:H95" xr:uid="{00000000-0002-0000-0D00-000000000000}">
      <formula1>0</formula1>
      <formula2>1000000</formula2>
    </dataValidation>
    <dataValidation type="list" allowBlank="1" showInputMessage="1" showErrorMessage="1" sqref="C74:H74" xr:uid="{00000000-0002-0000-0D00-000001000000}">
      <formula1>".,ja,nein"</formula1>
    </dataValidation>
    <dataValidation allowBlank="1" showInputMessage="1" showErrorMessage="1" prompt="Bitte geben Sie das Datum im Format Monat Jahr ein (z.B. Beginn August 2012 = Aug 12)." sqref="J76:J79" xr:uid="{00000000-0002-0000-0D00-000002000000}"/>
  </dataValidations>
  <pageMargins left="0.70866141732283472" right="0.70866141732283472" top="0.8666666666666667" bottom="0.78740157480314965" header="0.31496062992125984" footer="0.31496062992125984"/>
  <pageSetup paperSize="9" scale="96" orientation="landscape" r:id="rId1"/>
  <headerFooter>
    <oddHeader>&amp;L&amp;"Arial,Fett"&amp;U4. Ermittlung des anzurechnenden Einkommens des Kindes / der Kinder:
4.1. Einkommensermittlung Kind 8:&amp;R&amp;D</oddHeader>
    <oddFooter>&amp;R&amp;P</oddFooter>
  </headerFooter>
  <rowBreaks count="3" manualBreakCount="3">
    <brk id="31" max="16383" man="1"/>
    <brk id="66" max="16383" man="1"/>
    <brk id="103" max="16383"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0"/>
  <dimension ref="A1:J131"/>
  <sheetViews>
    <sheetView showGridLines="0" zoomScaleNormal="100" workbookViewId="0">
      <selection activeCell="C18" sqref="C18"/>
    </sheetView>
  </sheetViews>
  <sheetFormatPr baseColWidth="10" defaultRowHeight="14.25" x14ac:dyDescent="0.2"/>
  <cols>
    <col min="1" max="16384" width="11" style="1"/>
  </cols>
  <sheetData>
    <row r="1" spans="1:10" ht="15" x14ac:dyDescent="0.25">
      <c r="A1" s="313"/>
      <c r="B1" s="240"/>
      <c r="C1" s="914" t="s">
        <v>251</v>
      </c>
      <c r="D1" s="914"/>
      <c r="E1" s="914"/>
      <c r="F1" s="914"/>
      <c r="G1" s="914"/>
      <c r="H1" s="914"/>
      <c r="I1" s="239"/>
      <c r="J1" s="239"/>
    </row>
    <row r="2" spans="1:10" ht="15" x14ac:dyDescent="0.25">
      <c r="A2" s="407" t="s">
        <v>29</v>
      </c>
      <c r="B2" s="408"/>
      <c r="C2" s="255" t="e">
        <f>EDATE(BG!D2,-6)</f>
        <v>#NUM!</v>
      </c>
      <c r="D2" s="255" t="e">
        <f>EDATE(BG!D2,-5)</f>
        <v>#NUM!</v>
      </c>
      <c r="E2" s="255" t="e">
        <f>EDATE(BG!D2,-4)</f>
        <v>#NUM!</v>
      </c>
      <c r="F2" s="255" t="e">
        <f>EDATE(BG!D2,-3)</f>
        <v>#NUM!</v>
      </c>
      <c r="G2" s="255" t="e">
        <f>EDATE(BG!D2,-2)</f>
        <v>#NUM!</v>
      </c>
      <c r="H2" s="255" t="e">
        <f>EDATE(BG!D2,-1)</f>
        <v>#NUM!</v>
      </c>
      <c r="I2" s="292"/>
      <c r="J2" s="292"/>
    </row>
    <row r="3" spans="1:10" x14ac:dyDescent="0.2">
      <c r="A3" s="892" t="s">
        <v>66</v>
      </c>
      <c r="B3" s="893"/>
      <c r="C3" s="297"/>
      <c r="D3" s="297"/>
      <c r="E3" s="297"/>
      <c r="F3" s="297"/>
      <c r="G3" s="297"/>
      <c r="H3" s="297"/>
      <c r="I3" s="294"/>
      <c r="J3" s="294"/>
    </row>
    <row r="4" spans="1:10" x14ac:dyDescent="0.2">
      <c r="A4" s="886" t="s">
        <v>38</v>
      </c>
      <c r="B4" s="887"/>
      <c r="C4" s="298"/>
      <c r="D4" s="298"/>
      <c r="E4" s="298"/>
      <c r="F4" s="298"/>
      <c r="G4" s="298"/>
      <c r="H4" s="298"/>
      <c r="I4" s="294"/>
      <c r="J4" s="294"/>
    </row>
    <row r="5" spans="1:10" x14ac:dyDescent="0.2">
      <c r="A5" s="888" t="s">
        <v>67</v>
      </c>
      <c r="B5" s="889"/>
      <c r="C5" s="317"/>
      <c r="D5" s="317"/>
      <c r="E5" s="317"/>
      <c r="F5" s="317"/>
      <c r="G5" s="317"/>
      <c r="H5" s="317"/>
      <c r="I5" s="294"/>
      <c r="J5" s="294"/>
    </row>
    <row r="6" spans="1:10" x14ac:dyDescent="0.2">
      <c r="A6" s="912" t="s">
        <v>68</v>
      </c>
      <c r="B6" s="913"/>
      <c r="C6" s="318"/>
      <c r="D6" s="318"/>
      <c r="E6" s="318"/>
      <c r="F6" s="318"/>
      <c r="G6" s="318"/>
      <c r="H6" s="318"/>
      <c r="I6" s="294"/>
      <c r="J6" s="294"/>
    </row>
    <row r="7" spans="1:10" x14ac:dyDescent="0.2">
      <c r="A7" s="319"/>
      <c r="B7" s="319"/>
      <c r="C7" s="143">
        <f t="shared" ref="C7:H7" si="0">IF((C3+C4)=0,0,IF(AND((C3-C5)&gt;=0,(C4-C6)&gt;=0),(C3+C4-C5-C6),IF(AND((C3-C5)&gt;0,(C4-C6)&lt;0),(C3-C5),IF(AND((C3-C5)&lt;0,(C4-C6)&gt;0),(C4-C6),IF((C3-C5)&gt;0,(C3-C5),IF((C3-C5)&lt;0,0))))))</f>
        <v>0</v>
      </c>
      <c r="D7" s="143">
        <f t="shared" si="0"/>
        <v>0</v>
      </c>
      <c r="E7" s="143">
        <f t="shared" si="0"/>
        <v>0</v>
      </c>
      <c r="F7" s="143">
        <f t="shared" si="0"/>
        <v>0</v>
      </c>
      <c r="G7" s="143">
        <f t="shared" si="0"/>
        <v>0</v>
      </c>
      <c r="H7" s="143">
        <f t="shared" si="0"/>
        <v>0</v>
      </c>
      <c r="I7" s="240"/>
      <c r="J7" s="240"/>
    </row>
    <row r="8" spans="1:10" x14ac:dyDescent="0.2">
      <c r="A8" s="933" t="s">
        <v>69</v>
      </c>
      <c r="B8" s="934"/>
      <c r="C8" s="297"/>
      <c r="D8" s="297"/>
      <c r="E8" s="297"/>
      <c r="F8" s="297"/>
      <c r="G8" s="297"/>
      <c r="H8" s="297"/>
      <c r="I8" s="294"/>
      <c r="J8" s="294"/>
    </row>
    <row r="9" spans="1:10" x14ac:dyDescent="0.2">
      <c r="A9" s="935" t="s">
        <v>38</v>
      </c>
      <c r="B9" s="936"/>
      <c r="C9" s="298"/>
      <c r="D9" s="298"/>
      <c r="E9" s="298"/>
      <c r="F9" s="298"/>
      <c r="G9" s="298"/>
      <c r="H9" s="298"/>
      <c r="I9" s="294"/>
      <c r="J9" s="294"/>
    </row>
    <row r="10" spans="1:10" x14ac:dyDescent="0.2">
      <c r="A10" s="888" t="s">
        <v>67</v>
      </c>
      <c r="B10" s="889"/>
      <c r="C10" s="297"/>
      <c r="D10" s="297"/>
      <c r="E10" s="297"/>
      <c r="F10" s="297"/>
      <c r="G10" s="297"/>
      <c r="H10" s="297"/>
      <c r="I10" s="294"/>
      <c r="J10" s="294"/>
    </row>
    <row r="11" spans="1:10" x14ac:dyDescent="0.2">
      <c r="A11" s="912" t="s">
        <v>68</v>
      </c>
      <c r="B11" s="913"/>
      <c r="C11" s="318"/>
      <c r="D11" s="318"/>
      <c r="E11" s="318"/>
      <c r="F11" s="318"/>
      <c r="G11" s="318"/>
      <c r="H11" s="318"/>
      <c r="I11" s="294"/>
      <c r="J11" s="294"/>
    </row>
    <row r="12" spans="1:10" x14ac:dyDescent="0.2">
      <c r="A12" s="321"/>
      <c r="B12" s="321"/>
      <c r="C12" s="143">
        <f t="shared" ref="C12:H12" si="1">IF((C8+C9)=0,0,IF(AND((C8-C10)&gt;=0,(C9-C11)&gt;=0),(C8+C9-C10-C11),IF(AND((C8-C10)&gt;0,(C9-C11)&lt;0),(C8-C10),IF(AND((C8-C10)&lt;0,(C9-C11)&gt;0),(C9-C11),IF((C8-C10)&gt;0,(C8-C10),IF((C8-C10)&lt;0,0))))))</f>
        <v>0</v>
      </c>
      <c r="D12" s="143">
        <f t="shared" si="1"/>
        <v>0</v>
      </c>
      <c r="E12" s="143">
        <f t="shared" si="1"/>
        <v>0</v>
      </c>
      <c r="F12" s="143">
        <f t="shared" si="1"/>
        <v>0</v>
      </c>
      <c r="G12" s="143">
        <f t="shared" si="1"/>
        <v>0</v>
      </c>
      <c r="H12" s="143">
        <f t="shared" si="1"/>
        <v>0</v>
      </c>
      <c r="I12" s="240"/>
      <c r="J12" s="240"/>
    </row>
    <row r="13" spans="1:10" x14ac:dyDescent="0.2">
      <c r="A13" s="892" t="s">
        <v>70</v>
      </c>
      <c r="B13" s="893"/>
      <c r="C13" s="297"/>
      <c r="D13" s="297"/>
      <c r="E13" s="297"/>
      <c r="F13" s="297"/>
      <c r="G13" s="297"/>
      <c r="H13" s="297"/>
      <c r="I13" s="294"/>
      <c r="J13" s="294"/>
    </row>
    <row r="14" spans="1:10" x14ac:dyDescent="0.2">
      <c r="A14" s="886" t="s">
        <v>38</v>
      </c>
      <c r="B14" s="887"/>
      <c r="C14" s="298"/>
      <c r="D14" s="298"/>
      <c r="E14" s="298"/>
      <c r="F14" s="298"/>
      <c r="G14" s="298"/>
      <c r="H14" s="298"/>
      <c r="I14" s="294"/>
      <c r="J14" s="294"/>
    </row>
    <row r="15" spans="1:10" x14ac:dyDescent="0.2">
      <c r="A15" s="888" t="s">
        <v>67</v>
      </c>
      <c r="B15" s="889"/>
      <c r="C15" s="323"/>
      <c r="D15" s="297"/>
      <c r="E15" s="297"/>
      <c r="F15" s="297"/>
      <c r="G15" s="297"/>
      <c r="H15" s="297"/>
      <c r="I15" s="294"/>
      <c r="J15" s="294"/>
    </row>
    <row r="16" spans="1:10" x14ac:dyDescent="0.2">
      <c r="A16" s="912" t="s">
        <v>68</v>
      </c>
      <c r="B16" s="913"/>
      <c r="C16" s="324"/>
      <c r="D16" s="325"/>
      <c r="E16" s="325"/>
      <c r="F16" s="325"/>
      <c r="G16" s="325"/>
      <c r="H16" s="325"/>
      <c r="I16" s="294"/>
      <c r="J16" s="294"/>
    </row>
    <row r="17" spans="1:10" x14ac:dyDescent="0.2">
      <c r="A17" s="321"/>
      <c r="B17" s="321"/>
      <c r="C17" s="143">
        <f t="shared" ref="C17:H17" si="2">IF((C13+C14)=0,0,IF(AND((C13-C15)&gt;=0,(C14-C16)&gt;=0),(C13+C14-C15-C16),IF(AND((C13-C15)&gt;0,(C14-C16)&lt;0),(C13-C15),IF(AND((C13-C15)&lt;0,(C14-C16)&gt;0),(C14-C16),IF((C13-C15)&gt;0,(C13-C15),IF((C13-C15)&lt;0,0))))))</f>
        <v>0</v>
      </c>
      <c r="D17" s="143">
        <f t="shared" si="2"/>
        <v>0</v>
      </c>
      <c r="E17" s="143">
        <f t="shared" si="2"/>
        <v>0</v>
      </c>
      <c r="F17" s="143">
        <f t="shared" si="2"/>
        <v>0</v>
      </c>
      <c r="G17" s="143">
        <f t="shared" si="2"/>
        <v>0</v>
      </c>
      <c r="H17" s="143">
        <f t="shared" si="2"/>
        <v>0</v>
      </c>
      <c r="I17" s="240"/>
      <c r="J17" s="240"/>
    </row>
    <row r="18" spans="1:10" x14ac:dyDescent="0.2">
      <c r="A18" s="892" t="s">
        <v>516</v>
      </c>
      <c r="B18" s="893"/>
      <c r="C18" s="328"/>
      <c r="D18" s="328"/>
      <c r="E18" s="328"/>
      <c r="F18" s="328"/>
      <c r="G18" s="328"/>
      <c r="H18" s="328"/>
      <c r="I18" s="294"/>
      <c r="J18" s="294"/>
    </row>
    <row r="19" spans="1:10" x14ac:dyDescent="0.2">
      <c r="A19" s="607"/>
      <c r="B19" s="608" t="s">
        <v>517</v>
      </c>
      <c r="C19" s="609"/>
      <c r="D19" s="609"/>
      <c r="E19" s="609"/>
      <c r="F19" s="609"/>
      <c r="G19" s="609"/>
      <c r="H19" s="609"/>
      <c r="I19" s="294"/>
      <c r="J19" s="294"/>
    </row>
    <row r="20" spans="1:10" x14ac:dyDescent="0.2">
      <c r="A20" s="886" t="s">
        <v>515</v>
      </c>
      <c r="B20" s="887"/>
      <c r="C20" s="362"/>
      <c r="D20" s="362"/>
      <c r="E20" s="362"/>
      <c r="F20" s="362"/>
      <c r="G20" s="362"/>
      <c r="H20" s="362"/>
      <c r="I20" s="294"/>
      <c r="J20" s="294"/>
    </row>
    <row r="21" spans="1:10" x14ac:dyDescent="0.2">
      <c r="A21" s="888" t="s">
        <v>67</v>
      </c>
      <c r="B21" s="889"/>
      <c r="C21" s="323"/>
      <c r="D21" s="328"/>
      <c r="E21" s="328"/>
      <c r="F21" s="328"/>
      <c r="G21" s="328"/>
      <c r="H21" s="328"/>
      <c r="I21" s="294"/>
      <c r="J21" s="294"/>
    </row>
    <row r="22" spans="1:10" x14ac:dyDescent="0.2">
      <c r="A22" s="912" t="s">
        <v>68</v>
      </c>
      <c r="B22" s="913"/>
      <c r="C22" s="329"/>
      <c r="D22" s="318"/>
      <c r="E22" s="318"/>
      <c r="F22" s="318"/>
      <c r="G22" s="318"/>
      <c r="H22" s="318"/>
      <c r="I22" s="294"/>
      <c r="J22" s="294"/>
    </row>
    <row r="23" spans="1:10" s="614" customFormat="1" x14ac:dyDescent="0.2">
      <c r="A23" s="615"/>
      <c r="B23" s="615"/>
      <c r="C23" s="143">
        <f>IF((C18+C19+C20)=0,0,IF(AND((C18+C19-C21)&gt;=0,(C20-C22)&gt;=0),(C18+C19+C20-C21-C22),IF(AND((C18+C19-C21)&gt;0,(C20-C22)&lt;0),(C18+C19-C21),IF(AND((C18+C19-C21)&lt;0,(C20-C22)&gt;0),(C20-C22),IF((C18+C19-C21)&gt;0,(C18+C19-C21),IF((C18+C19-C21)&lt;0,0))))))</f>
        <v>0</v>
      </c>
      <c r="D23" s="143">
        <f t="shared" ref="D23:H23" si="3">IF((D18+D19+D20)=0,0,IF(AND((D18+D19-D21)&gt;=0,(D20-D22)&gt;=0),(D18+D19+D20-D21-D22),IF(AND((D18+D19-D21)&gt;0,(D20-D22)&lt;0),(D18+D19-D21),IF(AND((D18+D19-D21)&lt;0,(D20-D22)&gt;0),(D20-D22),IF((D18+D19-D21)&gt;0,(D18+D19-D21),IF((D18+D19-D21)&lt;0,0))))))</f>
        <v>0</v>
      </c>
      <c r="E23" s="143">
        <f t="shared" si="3"/>
        <v>0</v>
      </c>
      <c r="F23" s="143">
        <f t="shared" si="3"/>
        <v>0</v>
      </c>
      <c r="G23" s="143">
        <f t="shared" si="3"/>
        <v>0</v>
      </c>
      <c r="H23" s="143">
        <f t="shared" si="3"/>
        <v>0</v>
      </c>
      <c r="I23" s="81"/>
      <c r="J23" s="81"/>
    </row>
    <row r="24" spans="1:10" x14ac:dyDescent="0.2">
      <c r="A24" s="892" t="s">
        <v>71</v>
      </c>
      <c r="B24" s="893"/>
      <c r="C24" s="297"/>
      <c r="D24" s="297"/>
      <c r="E24" s="297"/>
      <c r="F24" s="297"/>
      <c r="G24" s="297"/>
      <c r="H24" s="297"/>
      <c r="I24" s="294"/>
      <c r="J24" s="294"/>
    </row>
    <row r="25" spans="1:10" x14ac:dyDescent="0.2">
      <c r="A25" s="886" t="s">
        <v>38</v>
      </c>
      <c r="B25" s="887"/>
      <c r="C25" s="298"/>
      <c r="D25" s="298"/>
      <c r="E25" s="298"/>
      <c r="F25" s="298"/>
      <c r="G25" s="298"/>
      <c r="H25" s="298"/>
      <c r="I25" s="294"/>
      <c r="J25" s="294"/>
    </row>
    <row r="26" spans="1:10" x14ac:dyDescent="0.2">
      <c r="A26" s="888" t="s">
        <v>67</v>
      </c>
      <c r="B26" s="889"/>
      <c r="C26" s="323"/>
      <c r="D26" s="297"/>
      <c r="E26" s="297"/>
      <c r="F26" s="297"/>
      <c r="G26" s="297"/>
      <c r="H26" s="297"/>
      <c r="I26" s="294"/>
      <c r="J26" s="294"/>
    </row>
    <row r="27" spans="1:10" x14ac:dyDescent="0.2">
      <c r="A27" s="890" t="s">
        <v>68</v>
      </c>
      <c r="B27" s="891"/>
      <c r="C27" s="329"/>
      <c r="D27" s="318"/>
      <c r="E27" s="318"/>
      <c r="F27" s="318"/>
      <c r="G27" s="318"/>
      <c r="H27" s="318"/>
      <c r="I27" s="294"/>
      <c r="J27" s="294"/>
    </row>
    <row r="28" spans="1:10" x14ac:dyDescent="0.2">
      <c r="A28" s="331"/>
      <c r="B28" s="330"/>
      <c r="C28" s="144">
        <f t="shared" ref="C28:H28" si="4">IF((C24+C25)=0,0,IF(AND((C24-C26)&gt;=0,(C25-C27)&gt;=0),(C24+C25-C26-C27),IF(AND((C24-C26)&gt;0,(C25-C27)&lt;0),(C24-C26),IF(AND((C24-C26)&lt;0,(C25-C27)&gt;0),(C25-C27),IF((C24-C26)&gt;0,(C24-C26),IF((C24-C26)&lt;0,0))))))</f>
        <v>0</v>
      </c>
      <c r="D28" s="144">
        <f t="shared" si="4"/>
        <v>0</v>
      </c>
      <c r="E28" s="144">
        <f t="shared" si="4"/>
        <v>0</v>
      </c>
      <c r="F28" s="144">
        <f t="shared" si="4"/>
        <v>0</v>
      </c>
      <c r="G28" s="144">
        <f t="shared" si="4"/>
        <v>0</v>
      </c>
      <c r="H28" s="144">
        <f t="shared" si="4"/>
        <v>0</v>
      </c>
      <c r="I28" s="239"/>
      <c r="J28" s="239"/>
    </row>
    <row r="29" spans="1:10" s="614" customFormat="1" x14ac:dyDescent="0.2">
      <c r="A29" s="1061"/>
      <c r="B29" s="1061"/>
      <c r="C29" s="617">
        <f>IF(AND(C18&gt;0,AS!C53&gt;0),C18,0)</f>
        <v>0</v>
      </c>
      <c r="D29" s="617">
        <f>IF(AND(D18&gt;0,AS!D53&gt;0),D18,0)</f>
        <v>0</v>
      </c>
      <c r="E29" s="617">
        <f>IF(AND(E18&gt;0,AS!E53&gt;0),E18,0)</f>
        <v>0</v>
      </c>
      <c r="F29" s="617">
        <f>IF(AND(F18&gt;0,AS!F53&gt;0),F18,0)</f>
        <v>0</v>
      </c>
      <c r="G29" s="617">
        <f>IF(AND(G18&gt;0,AS!G53&gt;0),G18,0)</f>
        <v>0</v>
      </c>
      <c r="H29" s="617">
        <f>IF(AND(H18&gt;0,AS!H53&gt;0),H18,0)</f>
        <v>0</v>
      </c>
      <c r="I29" s="84"/>
      <c r="J29" s="613"/>
    </row>
    <row r="30" spans="1:10" x14ac:dyDescent="0.2">
      <c r="A30" s="239"/>
      <c r="B30" s="1044"/>
      <c r="C30" s="1044"/>
      <c r="D30" s="409"/>
      <c r="E30" s="409"/>
      <c r="F30" s="409"/>
      <c r="G30" s="409"/>
      <c r="H30" s="409"/>
      <c r="I30" s="409"/>
      <c r="J30" s="239"/>
    </row>
    <row r="31" spans="1:10" x14ac:dyDescent="0.2">
      <c r="A31" s="239"/>
      <c r="B31" s="1045"/>
      <c r="C31" s="1045"/>
      <c r="D31" s="334"/>
      <c r="E31" s="334"/>
      <c r="F31" s="334"/>
      <c r="G31" s="334"/>
      <c r="H31" s="334"/>
      <c r="I31" s="334"/>
      <c r="J31" s="239"/>
    </row>
    <row r="32" spans="1:10" x14ac:dyDescent="0.2">
      <c r="A32" s="239"/>
      <c r="B32" s="1045"/>
      <c r="C32" s="1045"/>
      <c r="D32" s="334"/>
      <c r="E32" s="334"/>
      <c r="F32" s="334"/>
      <c r="G32" s="334"/>
      <c r="H32" s="334"/>
      <c r="I32" s="334"/>
      <c r="J32" s="239"/>
    </row>
    <row r="33" spans="1:10" x14ac:dyDescent="0.2">
      <c r="A33" s="239"/>
      <c r="B33" s="332"/>
      <c r="C33" s="332"/>
      <c r="D33" s="334"/>
      <c r="E33" s="334"/>
      <c r="F33" s="334"/>
      <c r="G33" s="334"/>
      <c r="H33" s="334"/>
      <c r="I33" s="334"/>
      <c r="J33" s="239"/>
    </row>
    <row r="34" spans="1:10" x14ac:dyDescent="0.2">
      <c r="A34" s="239"/>
      <c r="B34" s="239"/>
      <c r="C34" s="239"/>
      <c r="D34" s="239"/>
      <c r="E34" s="239"/>
      <c r="F34" s="239"/>
      <c r="G34" s="239"/>
      <c r="H34" s="239"/>
      <c r="I34" s="239"/>
      <c r="J34" s="239"/>
    </row>
    <row r="35" spans="1:10" x14ac:dyDescent="0.2">
      <c r="A35" s="239"/>
      <c r="B35" s="239"/>
      <c r="C35" s="239"/>
      <c r="D35" s="239"/>
      <c r="E35" s="239"/>
      <c r="F35" s="239"/>
      <c r="G35" s="239"/>
      <c r="H35" s="239"/>
      <c r="I35" s="239"/>
      <c r="J35" s="239"/>
    </row>
    <row r="36" spans="1:10" x14ac:dyDescent="0.2">
      <c r="A36" s="239"/>
      <c r="B36" s="239"/>
      <c r="C36" s="239"/>
      <c r="D36" s="239"/>
      <c r="E36" s="239"/>
      <c r="F36" s="239"/>
      <c r="G36" s="239"/>
      <c r="H36" s="239"/>
      <c r="I36" s="239"/>
      <c r="J36" s="239"/>
    </row>
    <row r="37" spans="1:10" ht="15" x14ac:dyDescent="0.25">
      <c r="A37" s="931" t="s">
        <v>29</v>
      </c>
      <c r="B37" s="932"/>
      <c r="C37" s="255" t="e">
        <f>EDATE(BG!D2,-6)</f>
        <v>#NUM!</v>
      </c>
      <c r="D37" s="255" t="e">
        <f>EDATE(BG!D2,-5)</f>
        <v>#NUM!</v>
      </c>
      <c r="E37" s="255" t="e">
        <f>EDATE(BG!D2,-4)</f>
        <v>#NUM!</v>
      </c>
      <c r="F37" s="255" t="e">
        <f>EDATE(BG!D2,-3)</f>
        <v>#NUM!</v>
      </c>
      <c r="G37" s="255" t="e">
        <f>EDATE(BG!D2,-2)</f>
        <v>#NUM!</v>
      </c>
      <c r="H37" s="255" t="e">
        <f>EDATE(BG!D2,-1)</f>
        <v>#NUM!</v>
      </c>
      <c r="I37" s="292"/>
      <c r="J37" s="292"/>
    </row>
    <row r="38" spans="1:10" x14ac:dyDescent="0.2">
      <c r="A38" s="896" t="s">
        <v>73</v>
      </c>
      <c r="B38" s="897"/>
      <c r="C38" s="333"/>
      <c r="D38" s="333"/>
      <c r="E38" s="333"/>
      <c r="F38" s="333"/>
      <c r="G38" s="333"/>
      <c r="H38" s="333"/>
      <c r="I38" s="294"/>
      <c r="J38" s="294"/>
    </row>
    <row r="39" spans="1:10" x14ac:dyDescent="0.2">
      <c r="A39" s="868" t="s">
        <v>74</v>
      </c>
      <c r="B39" s="869"/>
      <c r="C39" s="333"/>
      <c r="D39" s="333"/>
      <c r="E39" s="333"/>
      <c r="F39" s="333"/>
      <c r="G39" s="333"/>
      <c r="H39" s="333"/>
      <c r="I39" s="294"/>
      <c r="J39" s="294"/>
    </row>
    <row r="40" spans="1:10" x14ac:dyDescent="0.2">
      <c r="A40" s="239"/>
      <c r="B40" s="239"/>
      <c r="C40" s="239"/>
      <c r="D40" s="239"/>
      <c r="E40" s="239"/>
      <c r="F40" s="239"/>
      <c r="G40" s="239"/>
      <c r="H40" s="239"/>
      <c r="I40" s="240"/>
      <c r="J40" s="240"/>
    </row>
    <row r="41" spans="1:10" x14ac:dyDescent="0.2">
      <c r="A41" s="1046" t="s">
        <v>252</v>
      </c>
      <c r="B41" s="1047"/>
      <c r="C41" s="363"/>
      <c r="D41" s="363"/>
      <c r="E41" s="363"/>
      <c r="F41" s="363"/>
      <c r="G41" s="363"/>
      <c r="H41" s="363"/>
      <c r="I41" s="294"/>
      <c r="J41" s="294"/>
    </row>
    <row r="42" spans="1:10" x14ac:dyDescent="0.2">
      <c r="A42" s="1042" t="s">
        <v>313</v>
      </c>
      <c r="B42" s="1043"/>
      <c r="C42" s="294"/>
      <c r="D42" s="294"/>
      <c r="E42" s="294"/>
      <c r="F42" s="294"/>
      <c r="G42" s="294"/>
      <c r="H42" s="410"/>
      <c r="I42" s="240"/>
      <c r="J42" s="240"/>
    </row>
    <row r="43" spans="1:10" x14ac:dyDescent="0.2">
      <c r="A43" s="884" t="s">
        <v>314</v>
      </c>
      <c r="B43" s="885"/>
      <c r="C43" s="336"/>
      <c r="D43" s="336"/>
      <c r="E43" s="336"/>
      <c r="F43" s="336"/>
      <c r="G43" s="336"/>
      <c r="H43" s="336"/>
      <c r="I43" s="294"/>
      <c r="J43" s="294"/>
    </row>
    <row r="44" spans="1:10" x14ac:dyDescent="0.2">
      <c r="A44" s="880" t="s">
        <v>495</v>
      </c>
      <c r="B44" s="881"/>
      <c r="C44" s="339"/>
      <c r="D44" s="339"/>
      <c r="E44" s="339"/>
      <c r="F44" s="339"/>
      <c r="G44" s="339"/>
      <c r="H44" s="339"/>
      <c r="I44" s="294"/>
      <c r="J44" s="294"/>
    </row>
    <row r="45" spans="1:10" x14ac:dyDescent="0.2">
      <c r="A45" s="882" t="s">
        <v>316</v>
      </c>
      <c r="B45" s="883"/>
      <c r="C45" s="339"/>
      <c r="D45" s="339"/>
      <c r="E45" s="339"/>
      <c r="F45" s="339"/>
      <c r="G45" s="339"/>
      <c r="H45" s="339"/>
      <c r="I45" s="294"/>
      <c r="J45" s="294"/>
    </row>
    <row r="46" spans="1:10" x14ac:dyDescent="0.2">
      <c r="A46" s="870" t="s">
        <v>317</v>
      </c>
      <c r="B46" s="871"/>
      <c r="C46" s="340" t="e">
        <f t="shared" ref="C46:H46" si="5">IF(AND(C96=0,C41&gt;0,C61&gt;17),30,0)</f>
        <v>#NUM!</v>
      </c>
      <c r="D46" s="340" t="e">
        <f t="shared" si="5"/>
        <v>#NUM!</v>
      </c>
      <c r="E46" s="340" t="e">
        <f t="shared" si="5"/>
        <v>#NUM!</v>
      </c>
      <c r="F46" s="340" t="e">
        <f t="shared" si="5"/>
        <v>#NUM!</v>
      </c>
      <c r="G46" s="340" t="e">
        <f t="shared" si="5"/>
        <v>#NUM!</v>
      </c>
      <c r="H46" s="340" t="e">
        <f t="shared" si="5"/>
        <v>#NUM!</v>
      </c>
      <c r="I46" s="240"/>
      <c r="J46" s="240"/>
    </row>
    <row r="47" spans="1:10" x14ac:dyDescent="0.2">
      <c r="A47" s="872" t="s">
        <v>58</v>
      </c>
      <c r="B47" s="872"/>
      <c r="C47" s="364"/>
      <c r="D47" s="364"/>
      <c r="E47" s="364"/>
      <c r="F47" s="364"/>
      <c r="G47" s="364"/>
      <c r="H47" s="364"/>
      <c r="I47" s="294"/>
      <c r="J47" s="294"/>
    </row>
    <row r="48" spans="1:10" x14ac:dyDescent="0.2">
      <c r="A48" s="873" t="s">
        <v>318</v>
      </c>
      <c r="B48" s="874"/>
      <c r="C48" s="336"/>
      <c r="D48" s="336"/>
      <c r="E48" s="336"/>
      <c r="F48" s="336"/>
      <c r="G48" s="336"/>
      <c r="H48" s="336"/>
      <c r="I48" s="294"/>
      <c r="J48" s="294"/>
    </row>
    <row r="49" spans="1:10" x14ac:dyDescent="0.2">
      <c r="A49" s="810" t="s">
        <v>319</v>
      </c>
      <c r="B49" s="810"/>
      <c r="C49" s="337"/>
      <c r="D49" s="337"/>
      <c r="E49" s="337"/>
      <c r="F49" s="337"/>
      <c r="G49" s="337"/>
      <c r="H49" s="337"/>
      <c r="I49" s="294"/>
      <c r="J49" s="294"/>
    </row>
    <row r="50" spans="1:10" x14ac:dyDescent="0.2">
      <c r="A50" s="810" t="s">
        <v>320</v>
      </c>
      <c r="B50" s="810"/>
      <c r="C50" s="287">
        <f t="shared" ref="C50:H50" si="6">IF(C41=ISBLANK(0),0,IF(C96&gt;0,SUM(C43:C49),IF(C96=0,IF(SUM(C43:C49)&lt;100,100,SUM(C43:C49)))))</f>
        <v>0</v>
      </c>
      <c r="D50" s="287">
        <f t="shared" si="6"/>
        <v>0</v>
      </c>
      <c r="E50" s="287">
        <f t="shared" si="6"/>
        <v>0</v>
      </c>
      <c r="F50" s="287">
        <f t="shared" si="6"/>
        <v>0</v>
      </c>
      <c r="G50" s="287">
        <f t="shared" si="6"/>
        <v>0</v>
      </c>
      <c r="H50" s="287">
        <f t="shared" si="6"/>
        <v>0</v>
      </c>
      <c r="I50" s="294"/>
      <c r="J50" s="294"/>
    </row>
    <row r="51" spans="1:10" x14ac:dyDescent="0.2">
      <c r="A51" s="810" t="s">
        <v>322</v>
      </c>
      <c r="B51" s="810"/>
      <c r="C51" s="287">
        <f t="shared" ref="C51:H51" si="7">IF(C41-C50&lt;0,0,C41-C50)</f>
        <v>0</v>
      </c>
      <c r="D51" s="287">
        <f t="shared" si="7"/>
        <v>0</v>
      </c>
      <c r="E51" s="287">
        <f t="shared" si="7"/>
        <v>0</v>
      </c>
      <c r="F51" s="287">
        <f t="shared" si="7"/>
        <v>0</v>
      </c>
      <c r="G51" s="287">
        <f t="shared" si="7"/>
        <v>0</v>
      </c>
      <c r="H51" s="287">
        <f t="shared" si="7"/>
        <v>0</v>
      </c>
      <c r="I51" s="240"/>
      <c r="J51" s="240"/>
    </row>
    <row r="52" spans="1:10" x14ac:dyDescent="0.2">
      <c r="A52" s="866" t="s">
        <v>321</v>
      </c>
      <c r="B52" s="867"/>
      <c r="C52" s="365"/>
      <c r="D52" s="365"/>
      <c r="E52" s="365"/>
      <c r="F52" s="365"/>
      <c r="G52" s="365"/>
      <c r="H52" s="365"/>
      <c r="I52" s="294"/>
      <c r="J52" s="294"/>
    </row>
    <row r="53" spans="1:10" x14ac:dyDescent="0.2">
      <c r="A53" s="868" t="s">
        <v>68</v>
      </c>
      <c r="B53" s="869"/>
      <c r="C53" s="333"/>
      <c r="D53" s="333"/>
      <c r="E53" s="333"/>
      <c r="F53" s="333"/>
      <c r="G53" s="333"/>
      <c r="H53" s="333"/>
      <c r="I53" s="294"/>
      <c r="J53" s="294"/>
    </row>
    <row r="54" spans="1:10" x14ac:dyDescent="0.2">
      <c r="A54" s="239"/>
      <c r="B54" s="239"/>
      <c r="C54" s="93">
        <f t="shared" ref="C54:H54" si="8">IF((C52-C53)&lt;0,0,(C52-C53))</f>
        <v>0</v>
      </c>
      <c r="D54" s="93">
        <f t="shared" si="8"/>
        <v>0</v>
      </c>
      <c r="E54" s="93">
        <f t="shared" si="8"/>
        <v>0</v>
      </c>
      <c r="F54" s="93">
        <f t="shared" si="8"/>
        <v>0</v>
      </c>
      <c r="G54" s="93">
        <f t="shared" si="8"/>
        <v>0</v>
      </c>
      <c r="H54" s="93">
        <f t="shared" si="8"/>
        <v>0</v>
      </c>
      <c r="I54" s="240"/>
      <c r="J54" s="240"/>
    </row>
    <row r="55" spans="1:10" x14ac:dyDescent="0.2">
      <c r="A55" s="239"/>
      <c r="B55" s="239"/>
      <c r="C55" s="93">
        <f t="shared" ref="C55:H55" si="9">IF(C38-C39&lt;0,0,C38-C39)</f>
        <v>0</v>
      </c>
      <c r="D55" s="93">
        <f t="shared" si="9"/>
        <v>0</v>
      </c>
      <c r="E55" s="93">
        <f t="shared" si="9"/>
        <v>0</v>
      </c>
      <c r="F55" s="93">
        <f t="shared" si="9"/>
        <v>0</v>
      </c>
      <c r="G55" s="93">
        <f t="shared" si="9"/>
        <v>0</v>
      </c>
      <c r="H55" s="93">
        <f t="shared" si="9"/>
        <v>0</v>
      </c>
      <c r="I55" s="240"/>
      <c r="J55" s="240"/>
    </row>
    <row r="56" spans="1:10" ht="15" x14ac:dyDescent="0.25">
      <c r="A56" s="902" t="s">
        <v>75</v>
      </c>
      <c r="B56" s="902"/>
      <c r="C56" s="342" t="s">
        <v>323</v>
      </c>
      <c r="D56" s="309"/>
      <c r="E56" s="309"/>
      <c r="F56" s="309"/>
      <c r="G56" s="309"/>
      <c r="H56" s="309"/>
      <c r="I56" s="240"/>
      <c r="J56" s="240"/>
    </row>
    <row r="57" spans="1:10" x14ac:dyDescent="0.2">
      <c r="A57" s="903" t="s">
        <v>56</v>
      </c>
      <c r="B57" s="903"/>
      <c r="C57" s="308"/>
      <c r="D57" s="308"/>
      <c r="E57" s="308"/>
      <c r="F57" s="308"/>
      <c r="G57" s="308"/>
      <c r="H57" s="308"/>
      <c r="I57" s="294"/>
      <c r="J57" s="294"/>
    </row>
    <row r="58" spans="1:10" x14ac:dyDescent="0.2">
      <c r="A58" s="903" t="s">
        <v>57</v>
      </c>
      <c r="B58" s="903"/>
      <c r="C58" s="308"/>
      <c r="D58" s="308"/>
      <c r="E58" s="308"/>
      <c r="F58" s="308"/>
      <c r="G58" s="308"/>
      <c r="H58" s="308"/>
      <c r="I58" s="294"/>
      <c r="J58" s="294"/>
    </row>
    <row r="59" spans="1:10" x14ac:dyDescent="0.2">
      <c r="A59" s="903" t="s">
        <v>58</v>
      </c>
      <c r="B59" s="903"/>
      <c r="C59" s="308"/>
      <c r="D59" s="308"/>
      <c r="E59" s="308"/>
      <c r="F59" s="308"/>
      <c r="G59" s="308"/>
      <c r="H59" s="308"/>
      <c r="I59" s="294"/>
      <c r="J59" s="294"/>
    </row>
    <row r="60" spans="1:10" x14ac:dyDescent="0.2">
      <c r="A60" s="903" t="s">
        <v>76</v>
      </c>
      <c r="B60" s="903"/>
      <c r="C60" s="343">
        <f>IF(C61&lt;18,0,IF(C46=30,0,IF((C75+C76+H78)&gt;0,0,IF(C96=0,30,IF(C96&gt;0,0)))))</f>
        <v>0</v>
      </c>
      <c r="D60" s="343">
        <f>IF(D61&lt;18,0,IF(D46=30,0,IF((D75+D76+H78)&gt;0,0,IF(D96=0,30,IF(D96&gt;0,0)))))</f>
        <v>0</v>
      </c>
      <c r="E60" s="343">
        <f>IF(E61&lt;18,0,IF(E46=30,0,IF((E75+E76+H78)&gt;0,0,IF(E96=0,30,IF(E96&gt;0,0)))))</f>
        <v>0</v>
      </c>
      <c r="F60" s="343">
        <f>IF(F61&lt;18,0,IF(F46=30,0,IF((F75+F76+H78)&gt;0,0,IF(F96=0,30,IF(F96&gt;0,0)))))</f>
        <v>0</v>
      </c>
      <c r="G60" s="343">
        <f>IF(G61&lt;18,0,IF(G46=30,0,IF((G75+G76+H78)&gt;0,0,IF(G96=0,30,IF(G96&gt;0,0)))))</f>
        <v>0</v>
      </c>
      <c r="H60" s="343">
        <f>IF(H61&lt;18,0,IF(H46=30,0,IF((H75+H76+H78)&gt;0,0,IF(H96=0,30,IF(H96&gt;0,0)))))</f>
        <v>0</v>
      </c>
      <c r="I60" s="239"/>
      <c r="J60" s="239"/>
    </row>
    <row r="61" spans="1:10" x14ac:dyDescent="0.2">
      <c r="A61" s="239"/>
      <c r="B61" s="239"/>
      <c r="C61" s="84">
        <f>IF(BG!$C$29=ISBLANK(0),0,IF(INT((C37-BG!$C$29)/365.25)&lt;0,0,INT((C37-BG!$C$29)/365.25)))</f>
        <v>0</v>
      </c>
      <c r="D61" s="84">
        <f>IF(BG!$C$29=ISBLANK(0),0,IF(INT((D37-BG!$C$29)/365.25)&lt;0,0,INT((D37-BG!$C$29)/365.25)))</f>
        <v>0</v>
      </c>
      <c r="E61" s="84">
        <f>IF(BG!$C$29=ISBLANK(0),0,IF(INT((E37-BG!$C$29)/365.25)&lt;0,0,INT((E37-BG!$C$29)/365.25)))</f>
        <v>0</v>
      </c>
      <c r="F61" s="84">
        <f>IF(BG!$C$29=ISBLANK(0),0,IF(INT((F37-BG!$C$29)/365.25)&lt;0,0,INT((F37-BG!$C$29)/365.25)))</f>
        <v>0</v>
      </c>
      <c r="G61" s="84">
        <f>IF(BG!$C$29=ISBLANK(0),0,IF(INT((G37-BG!$C$29)/365.25)&lt;0,0,INT((G37-BG!$C$29)/365.25)))</f>
        <v>0</v>
      </c>
      <c r="H61" s="84">
        <f>IF(BG!$C$29=ISBLANK(0),0,IF(INT((H37-BG!$C$29)/365.25)&lt;0,0,INT((H37-BG!$C$29)/365.25)))</f>
        <v>0</v>
      </c>
      <c r="I61" s="239"/>
      <c r="J61" s="239"/>
    </row>
    <row r="62" spans="1:10" x14ac:dyDescent="0.2">
      <c r="A62" s="241"/>
      <c r="B62" s="344" t="s">
        <v>77</v>
      </c>
      <c r="C62" s="97">
        <f t="shared" ref="C62:H62" si="10">C7+C12+C17+C23+C28+C51+C54+C55</f>
        <v>0</v>
      </c>
      <c r="D62" s="97">
        <f t="shared" si="10"/>
        <v>0</v>
      </c>
      <c r="E62" s="97">
        <f t="shared" si="10"/>
        <v>0</v>
      </c>
      <c r="F62" s="97">
        <f t="shared" si="10"/>
        <v>0</v>
      </c>
      <c r="G62" s="97">
        <f t="shared" si="10"/>
        <v>0</v>
      </c>
      <c r="H62" s="97">
        <f t="shared" si="10"/>
        <v>0</v>
      </c>
      <c r="I62" s="258" t="s">
        <v>48</v>
      </c>
      <c r="J62" s="239"/>
    </row>
    <row r="63" spans="1:10" x14ac:dyDescent="0.2">
      <c r="A63" s="345"/>
      <c r="B63" s="346" t="s">
        <v>78</v>
      </c>
      <c r="C63" s="106">
        <f t="shared" ref="C63:H63" si="11">SUM(C57:C60)</f>
        <v>0</v>
      </c>
      <c r="D63" s="106">
        <f t="shared" si="11"/>
        <v>0</v>
      </c>
      <c r="E63" s="106">
        <f t="shared" si="11"/>
        <v>0</v>
      </c>
      <c r="F63" s="106">
        <f t="shared" si="11"/>
        <v>0</v>
      </c>
      <c r="G63" s="106">
        <f t="shared" si="11"/>
        <v>0</v>
      </c>
      <c r="H63" s="106">
        <f t="shared" si="11"/>
        <v>0</v>
      </c>
      <c r="I63" s="347"/>
      <c r="J63" s="239"/>
    </row>
    <row r="64" spans="1:10" x14ac:dyDescent="0.2">
      <c r="A64" s="281"/>
      <c r="B64" s="348" t="s">
        <v>79</v>
      </c>
      <c r="C64" s="296">
        <f t="shared" ref="C64:H64" si="12">IF((C62-C63)&lt;0,0,(C62-C63))</f>
        <v>0</v>
      </c>
      <c r="D64" s="296">
        <f t="shared" si="12"/>
        <v>0</v>
      </c>
      <c r="E64" s="296">
        <f t="shared" si="12"/>
        <v>0</v>
      </c>
      <c r="F64" s="296">
        <f t="shared" si="12"/>
        <v>0</v>
      </c>
      <c r="G64" s="296">
        <f t="shared" si="12"/>
        <v>0</v>
      </c>
      <c r="H64" s="296">
        <f t="shared" si="12"/>
        <v>0</v>
      </c>
      <c r="I64" s="287">
        <f>SUM(C64:H64)</f>
        <v>0</v>
      </c>
      <c r="J64" s="239"/>
    </row>
    <row r="65" spans="1:10" x14ac:dyDescent="0.2">
      <c r="A65" s="239"/>
      <c r="B65" s="239"/>
      <c r="C65" s="239"/>
      <c r="D65" s="239"/>
      <c r="E65" s="239"/>
      <c r="F65" s="239"/>
      <c r="G65" s="239"/>
      <c r="H65" s="239"/>
      <c r="I65" s="239"/>
      <c r="J65" s="239"/>
    </row>
    <row r="66" spans="1:10" x14ac:dyDescent="0.2">
      <c r="A66" s="239"/>
      <c r="B66" s="239"/>
      <c r="C66" s="239"/>
      <c r="D66" s="239"/>
      <c r="E66" s="239"/>
      <c r="F66" s="239"/>
      <c r="G66" s="239"/>
      <c r="H66" s="239"/>
      <c r="I66" s="239"/>
      <c r="J66" s="239"/>
    </row>
    <row r="67" spans="1:10" x14ac:dyDescent="0.2">
      <c r="A67" s="239"/>
      <c r="B67" s="239"/>
      <c r="C67" s="239"/>
      <c r="D67" s="239"/>
      <c r="E67" s="239"/>
      <c r="F67" s="239"/>
      <c r="G67" s="239"/>
      <c r="H67" s="239"/>
      <c r="I67" s="239"/>
      <c r="J67" s="239"/>
    </row>
    <row r="68" spans="1:10" x14ac:dyDescent="0.2">
      <c r="A68" s="239"/>
      <c r="B68" s="239"/>
      <c r="C68" s="239"/>
      <c r="D68" s="239"/>
      <c r="E68" s="239"/>
      <c r="F68" s="239"/>
      <c r="G68" s="239"/>
      <c r="H68" s="239"/>
      <c r="I68" s="239"/>
      <c r="J68" s="239"/>
    </row>
    <row r="69" spans="1:10" x14ac:dyDescent="0.2">
      <c r="A69" s="239"/>
      <c r="B69" s="239"/>
      <c r="C69" s="239"/>
      <c r="D69" s="239"/>
      <c r="E69" s="239"/>
      <c r="F69" s="239"/>
      <c r="G69" s="239"/>
      <c r="H69" s="239"/>
      <c r="I69" s="239"/>
      <c r="J69" s="239"/>
    </row>
    <row r="70" spans="1:10" x14ac:dyDescent="0.2">
      <c r="A70" s="239"/>
      <c r="B70" s="239"/>
      <c r="C70" s="239"/>
      <c r="D70" s="239"/>
      <c r="E70" s="239"/>
      <c r="F70" s="239"/>
      <c r="G70" s="239"/>
      <c r="H70" s="239"/>
      <c r="I70" s="239"/>
      <c r="J70" s="239"/>
    </row>
    <row r="71" spans="1:10" x14ac:dyDescent="0.2">
      <c r="A71" s="239"/>
      <c r="B71" s="239"/>
      <c r="C71" s="239"/>
      <c r="D71" s="239"/>
      <c r="E71" s="239"/>
      <c r="F71" s="239"/>
      <c r="G71" s="239"/>
      <c r="H71" s="239"/>
      <c r="I71" s="239"/>
      <c r="J71" s="239"/>
    </row>
    <row r="72" spans="1:10" ht="15" x14ac:dyDescent="0.25">
      <c r="A72" s="249"/>
      <c r="B72" s="239"/>
      <c r="C72" s="914" t="s">
        <v>46</v>
      </c>
      <c r="D72" s="914"/>
      <c r="E72" s="914"/>
      <c r="F72" s="914"/>
      <c r="G72" s="914"/>
      <c r="H72" s="914"/>
      <c r="I72" s="239"/>
      <c r="J72" s="239"/>
    </row>
    <row r="73" spans="1:10" ht="15" x14ac:dyDescent="0.25">
      <c r="A73" s="915" t="s">
        <v>29</v>
      </c>
      <c r="B73" s="915"/>
      <c r="C73" s="255" t="e">
        <f>EDATE(BG!D2,-6)</f>
        <v>#NUM!</v>
      </c>
      <c r="D73" s="255" t="e">
        <f>EDATE(BG!D2,-5)</f>
        <v>#NUM!</v>
      </c>
      <c r="E73" s="255" t="e">
        <f>EDATE(BG!D2,-4)</f>
        <v>#NUM!</v>
      </c>
      <c r="F73" s="255" t="e">
        <f>EDATE(BG!D2,-3)</f>
        <v>#NUM!</v>
      </c>
      <c r="G73" s="255" t="e">
        <f>EDATE(BG!D2,-2)</f>
        <v>#NUM!</v>
      </c>
      <c r="H73" s="255" t="e">
        <f>EDATE(BG!D2,-1)</f>
        <v>#NUM!</v>
      </c>
      <c r="I73" s="245"/>
      <c r="J73" s="292"/>
    </row>
    <row r="74" spans="1:10" x14ac:dyDescent="0.2">
      <c r="A74" s="1050" t="s">
        <v>596</v>
      </c>
      <c r="B74" s="1051"/>
      <c r="C74" s="366" t="s">
        <v>185</v>
      </c>
      <c r="D74" s="366" t="s">
        <v>185</v>
      </c>
      <c r="E74" s="366" t="s">
        <v>185</v>
      </c>
      <c r="F74" s="366" t="s">
        <v>185</v>
      </c>
      <c r="G74" s="366" t="s">
        <v>185</v>
      </c>
      <c r="H74" s="366" t="s">
        <v>185</v>
      </c>
      <c r="I74" s="345"/>
      <c r="J74" s="332" t="str">
        <f>IF(SUM(C77:H77)&gt;0,"bitte hier"," ")</f>
        <v xml:space="preserve"> </v>
      </c>
    </row>
    <row r="75" spans="1:10" ht="14.25" customHeight="1" x14ac:dyDescent="0.2">
      <c r="A75" s="916" t="s">
        <v>47</v>
      </c>
      <c r="B75" s="916"/>
      <c r="C75" s="264"/>
      <c r="D75" s="264"/>
      <c r="E75" s="264"/>
      <c r="F75" s="264"/>
      <c r="G75" s="264"/>
      <c r="H75" s="264"/>
      <c r="I75" s="311"/>
      <c r="J75" s="367" t="str">
        <f>IF(SUM(C77:H77)&gt;0,"eintragen"," ")</f>
        <v xml:space="preserve"> </v>
      </c>
    </row>
    <row r="76" spans="1:10" x14ac:dyDescent="0.2">
      <c r="A76" s="917" t="s">
        <v>38</v>
      </c>
      <c r="B76" s="917"/>
      <c r="C76" s="266"/>
      <c r="D76" s="266"/>
      <c r="E76" s="266"/>
      <c r="F76" s="266"/>
      <c r="G76" s="266"/>
      <c r="H76" s="266"/>
      <c r="I76" s="368" t="str">
        <f>IF(SUM(C77:H77)&gt;0,"Beginn d."," ")</f>
        <v xml:space="preserve"> </v>
      </c>
      <c r="J76" s="1052"/>
    </row>
    <row r="77" spans="1:10" ht="14.25" customHeight="1" x14ac:dyDescent="0.2">
      <c r="A77" s="918" t="s">
        <v>242</v>
      </c>
      <c r="B77" s="918"/>
      <c r="C77" s="369"/>
      <c r="D77" s="369"/>
      <c r="E77" s="369"/>
      <c r="F77" s="369"/>
      <c r="G77" s="369"/>
      <c r="H77" s="369"/>
      <c r="I77" s="370" t="str">
        <f>IF(SUM(C77:H77)&gt;0,"Selbständigkeit:"," ")</f>
        <v xml:space="preserve"> </v>
      </c>
      <c r="J77" s="1053"/>
    </row>
    <row r="78" spans="1:10" x14ac:dyDescent="0.2">
      <c r="A78" s="239"/>
      <c r="B78" s="239"/>
      <c r="C78" s="248"/>
      <c r="D78" s="248"/>
      <c r="E78" s="142" t="s">
        <v>48</v>
      </c>
      <c r="F78" s="83">
        <f>SUM(C77:H77)</f>
        <v>0</v>
      </c>
      <c r="G78" s="81" t="s">
        <v>49</v>
      </c>
      <c r="H78" s="83" t="e">
        <f>ROUND((F78/J81),2)</f>
        <v>#NUM!</v>
      </c>
      <c r="I78" s="411" t="str">
        <f>IF(SUM(C77:H77)&gt;0,"Ende d."," ")</f>
        <v xml:space="preserve"> </v>
      </c>
      <c r="J78" s="1048"/>
    </row>
    <row r="79" spans="1:10" x14ac:dyDescent="0.2">
      <c r="A79" s="921" t="s">
        <v>50</v>
      </c>
      <c r="B79" s="922"/>
      <c r="C79" s="297"/>
      <c r="D79" s="297"/>
      <c r="E79" s="297"/>
      <c r="F79" s="297"/>
      <c r="G79" s="297"/>
      <c r="H79" s="297"/>
      <c r="I79" s="370" t="str">
        <f>IF(SUM(C77:H77)&gt;0,"Selbständigkeit:"," ")</f>
        <v xml:space="preserve"> </v>
      </c>
      <c r="J79" s="1049"/>
    </row>
    <row r="80" spans="1:10" x14ac:dyDescent="0.2">
      <c r="A80" s="923" t="s">
        <v>51</v>
      </c>
      <c r="B80" s="924"/>
      <c r="C80" s="298"/>
      <c r="D80" s="298"/>
      <c r="E80" s="298"/>
      <c r="F80" s="298"/>
      <c r="G80" s="298"/>
      <c r="H80" s="298"/>
      <c r="I80" s="1054" t="str">
        <f>IF(SUM(C77:H77)&gt;0,"Format: MM/JJ"," ")</f>
        <v xml:space="preserve"> </v>
      </c>
      <c r="J80" s="1055"/>
    </row>
    <row r="81" spans="1:10" x14ac:dyDescent="0.2">
      <c r="A81" s="925" t="s">
        <v>52</v>
      </c>
      <c r="B81" s="925"/>
      <c r="C81" s="371"/>
      <c r="D81" s="371"/>
      <c r="E81" s="371"/>
      <c r="F81" s="371"/>
      <c r="G81" s="371"/>
      <c r="H81" s="371"/>
      <c r="I81" s="198" t="e">
        <f>IF(J76&lt;MEG!C6,6,DATEDIF(J76,MEG!E6,"m")+1)</f>
        <v>#NUM!</v>
      </c>
      <c r="J81" s="199" t="e">
        <f>IF(J78=ISBLANK(0),I81,IF(J76=ISBLANK(0),I82,DATEDIF(I84,J84,"m")+1))</f>
        <v>#NUM!</v>
      </c>
    </row>
    <row r="82" spans="1:10" x14ac:dyDescent="0.2">
      <c r="A82" s="1056" t="s">
        <v>54</v>
      </c>
      <c r="B82" s="1056"/>
      <c r="C82" s="413"/>
      <c r="D82" s="413"/>
      <c r="E82" s="413"/>
      <c r="F82" s="413"/>
      <c r="G82" s="413"/>
      <c r="H82" s="413"/>
      <c r="I82" s="198" t="e">
        <f>IF(J78&lt;MEG!C6,6,DATEDIF(MEG!C6,J78,"m")+1)</f>
        <v>#NUM!</v>
      </c>
      <c r="J82" s="199"/>
    </row>
    <row r="83" spans="1:10" x14ac:dyDescent="0.2">
      <c r="A83" s="1057"/>
      <c r="B83" s="1057"/>
      <c r="C83" s="126" t="s">
        <v>48</v>
      </c>
      <c r="D83" s="83">
        <f>SUM(C81:H82)</f>
        <v>0</v>
      </c>
      <c r="E83" s="81" t="s">
        <v>49</v>
      </c>
      <c r="F83" s="83" t="e">
        <f>ROUND((D83/J81),2)</f>
        <v>#NUM!</v>
      </c>
      <c r="G83" s="90" t="s">
        <v>53</v>
      </c>
      <c r="H83" s="91" t="e">
        <f>IF((H78-F83)&lt;0,0,(H78-F83))</f>
        <v>#NUM!</v>
      </c>
      <c r="I83" s="81"/>
      <c r="J83" s="81"/>
    </row>
    <row r="84" spans="1:10" x14ac:dyDescent="0.2">
      <c r="A84" s="239"/>
      <c r="B84" s="292"/>
      <c r="C84" s="373"/>
      <c r="D84" s="373"/>
      <c r="E84" s="373"/>
      <c r="F84" s="373"/>
      <c r="G84" s="373"/>
      <c r="H84" s="374"/>
      <c r="I84" s="179" t="e">
        <f>IF(J76&lt;MEG!C6,MEG!C6,J76)</f>
        <v>#NUM!</v>
      </c>
      <c r="J84" s="179" t="e">
        <f>IF(J78&gt;MEG!E6,MEG!E6,J78)</f>
        <v>#NUM!</v>
      </c>
    </row>
    <row r="85" spans="1:10" x14ac:dyDescent="0.2">
      <c r="A85" s="925" t="s">
        <v>54</v>
      </c>
      <c r="B85" s="925"/>
      <c r="C85" s="302">
        <f t="shared" ref="C85:H85" si="13">SUM(C88,(C86*ROUND(C87,0)*0.2))</f>
        <v>0</v>
      </c>
      <c r="D85" s="302">
        <f t="shared" si="13"/>
        <v>0</v>
      </c>
      <c r="E85" s="302">
        <f t="shared" si="13"/>
        <v>0</v>
      </c>
      <c r="F85" s="302">
        <f t="shared" si="13"/>
        <v>0</v>
      </c>
      <c r="G85" s="302">
        <f t="shared" si="13"/>
        <v>0</v>
      </c>
      <c r="H85" s="302">
        <f t="shared" si="13"/>
        <v>0</v>
      </c>
      <c r="I85" s="203" t="e">
        <f>I84</f>
        <v>#NUM!</v>
      </c>
      <c r="J85" s="179" t="e">
        <f>IF(J78=ISBLANK(0),H73+1,J78)</f>
        <v>#NUM!</v>
      </c>
    </row>
    <row r="86" spans="1:10" x14ac:dyDescent="0.2">
      <c r="A86" s="927" t="s">
        <v>234</v>
      </c>
      <c r="B86" s="928"/>
      <c r="C86" s="375"/>
      <c r="D86" s="375"/>
      <c r="E86" s="375"/>
      <c r="F86" s="375"/>
      <c r="G86" s="375"/>
      <c r="H86" s="375"/>
      <c r="I86" s="202" t="e">
        <f>IF(I84&gt;C73,0,IF(J85&lt;C73,0,H83))</f>
        <v>#NUM!</v>
      </c>
      <c r="J86" s="81"/>
    </row>
    <row r="87" spans="1:10" x14ac:dyDescent="0.2">
      <c r="A87" s="927" t="s">
        <v>235</v>
      </c>
      <c r="B87" s="928"/>
      <c r="C87" s="375"/>
      <c r="D87" s="375"/>
      <c r="E87" s="375"/>
      <c r="F87" s="375"/>
      <c r="G87" s="375"/>
      <c r="H87" s="375"/>
      <c r="I87" s="202" t="e">
        <f>IF(I84&gt;D73,0,IF(J85&lt;D73,0,H83))</f>
        <v>#NUM!</v>
      </c>
      <c r="J87" s="81"/>
    </row>
    <row r="88" spans="1:10" x14ac:dyDescent="0.2">
      <c r="A88" s="929" t="s">
        <v>237</v>
      </c>
      <c r="B88" s="930"/>
      <c r="C88" s="372"/>
      <c r="D88" s="372"/>
      <c r="E88" s="372"/>
      <c r="F88" s="372"/>
      <c r="G88" s="372"/>
      <c r="H88" s="372"/>
      <c r="I88" s="202" t="e">
        <f>IF(I84&gt;E73,0,IF(J85&lt;E73,0,H83))</f>
        <v>#NUM!</v>
      </c>
      <c r="J88" s="81"/>
    </row>
    <row r="89" spans="1:10" x14ac:dyDescent="0.2">
      <c r="A89" s="926" t="s">
        <v>55</v>
      </c>
      <c r="B89" s="926"/>
      <c r="C89" s="305">
        <f t="shared" ref="C89:H89" si="14">C90*C91</f>
        <v>0</v>
      </c>
      <c r="D89" s="305">
        <f t="shared" si="14"/>
        <v>0</v>
      </c>
      <c r="E89" s="305">
        <f t="shared" si="14"/>
        <v>0</v>
      </c>
      <c r="F89" s="305">
        <f t="shared" si="14"/>
        <v>0</v>
      </c>
      <c r="G89" s="305">
        <f t="shared" si="14"/>
        <v>0</v>
      </c>
      <c r="H89" s="305">
        <f t="shared" si="14"/>
        <v>0</v>
      </c>
      <c r="I89" s="202" t="e">
        <f>IF(I84&gt;F73,0,IF(J85&lt;F73,0,H83))</f>
        <v>#NUM!</v>
      </c>
      <c r="J89" s="83"/>
    </row>
    <row r="90" spans="1:10" x14ac:dyDescent="0.2">
      <c r="A90" s="898" t="s">
        <v>238</v>
      </c>
      <c r="B90" s="899"/>
      <c r="C90" s="375"/>
      <c r="D90" s="375"/>
      <c r="E90" s="375"/>
      <c r="F90" s="375"/>
      <c r="G90" s="375"/>
      <c r="H90" s="375"/>
      <c r="I90" s="202" t="e">
        <f>IF(I84&gt;G73,0,IF(J85&lt;G73,0,H83))</f>
        <v>#NUM!</v>
      </c>
      <c r="J90" s="81"/>
    </row>
    <row r="91" spans="1:10" x14ac:dyDescent="0.2">
      <c r="A91" s="942" t="s">
        <v>239</v>
      </c>
      <c r="B91" s="943"/>
      <c r="C91" s="376"/>
      <c r="D91" s="376"/>
      <c r="E91" s="376"/>
      <c r="F91" s="376"/>
      <c r="G91" s="376"/>
      <c r="H91" s="376"/>
      <c r="I91" s="202" t="e">
        <f>IF(I84&gt;H73,0,IF(J85&lt;H73,0,H83))</f>
        <v>#NUM!</v>
      </c>
      <c r="J91" s="81"/>
    </row>
    <row r="92" spans="1:10" x14ac:dyDescent="0.2">
      <c r="A92" s="937" t="s">
        <v>236</v>
      </c>
      <c r="B92" s="938"/>
      <c r="C92" s="307"/>
      <c r="D92" s="307"/>
      <c r="E92" s="307"/>
      <c r="F92" s="307"/>
      <c r="G92" s="307"/>
      <c r="H92" s="307"/>
      <c r="I92" s="356"/>
      <c r="J92" s="83"/>
    </row>
    <row r="93" spans="1:10" x14ac:dyDescent="0.2">
      <c r="A93" s="903" t="s">
        <v>56</v>
      </c>
      <c r="B93" s="903"/>
      <c r="C93" s="307"/>
      <c r="D93" s="307"/>
      <c r="E93" s="307"/>
      <c r="F93" s="307"/>
      <c r="G93" s="307"/>
      <c r="H93" s="307"/>
      <c r="I93" s="311"/>
      <c r="J93" s="294"/>
    </row>
    <row r="94" spans="1:10" x14ac:dyDescent="0.2">
      <c r="A94" s="903" t="s">
        <v>57</v>
      </c>
      <c r="B94" s="903"/>
      <c r="C94" s="307"/>
      <c r="D94" s="307"/>
      <c r="E94" s="307"/>
      <c r="F94" s="307"/>
      <c r="G94" s="307"/>
      <c r="H94" s="307"/>
      <c r="I94" s="311"/>
      <c r="J94" s="294"/>
    </row>
    <row r="95" spans="1:10" x14ac:dyDescent="0.2">
      <c r="A95" s="903" t="s">
        <v>58</v>
      </c>
      <c r="B95" s="903"/>
      <c r="C95" s="308"/>
      <c r="D95" s="308"/>
      <c r="E95" s="308"/>
      <c r="F95" s="308"/>
      <c r="G95" s="308"/>
      <c r="H95" s="308"/>
      <c r="I95" s="311"/>
      <c r="J95" s="294"/>
    </row>
    <row r="96" spans="1:10" x14ac:dyDescent="0.2">
      <c r="A96" s="239"/>
      <c r="B96" s="239"/>
      <c r="C96" s="93" t="e">
        <f>C75+I86</f>
        <v>#NUM!</v>
      </c>
      <c r="D96" s="93" t="e">
        <f>D75+I87</f>
        <v>#NUM!</v>
      </c>
      <c r="E96" s="93" t="e">
        <f>E75+I88</f>
        <v>#NUM!</v>
      </c>
      <c r="F96" s="93" t="e">
        <f>F75+I89</f>
        <v>#NUM!</v>
      </c>
      <c r="G96" s="93" t="e">
        <f>G75+I90</f>
        <v>#NUM!</v>
      </c>
      <c r="H96" s="93" t="e">
        <f>H75+I91</f>
        <v>#NUM!</v>
      </c>
      <c r="I96" s="239"/>
      <c r="J96" s="239"/>
    </row>
    <row r="97" spans="1:10" x14ac:dyDescent="0.2">
      <c r="A97" s="903" t="s">
        <v>59</v>
      </c>
      <c r="B97" s="903"/>
      <c r="C97" s="287" t="e">
        <f>IF(C74="ja",Grundfreibeträge!G60,Grundfreibeträge!F60)</f>
        <v>#NUM!</v>
      </c>
      <c r="D97" s="287" t="e">
        <f>IF(D74="ja",Grundfreibeträge!G61,Grundfreibeträge!F61)</f>
        <v>#NUM!</v>
      </c>
      <c r="E97" s="287" t="e">
        <f>IF(E74="ja",Grundfreibeträge!G62,Grundfreibeträge!F62)</f>
        <v>#NUM!</v>
      </c>
      <c r="F97" s="287" t="e">
        <f>IF(F74="ja",Grundfreibeträge!G63,Grundfreibeträge!F63)</f>
        <v>#NUM!</v>
      </c>
      <c r="G97" s="287" t="e">
        <f>IF(G74="ja",Grundfreibeträge!G64,Grundfreibeträge!F64)</f>
        <v>#NUM!</v>
      </c>
      <c r="H97" s="287" t="e">
        <f>IF(H74="ja",Grundfreibeträge!G65,Grundfreibeträge!F65)</f>
        <v>#NUM!</v>
      </c>
      <c r="I97" s="239"/>
      <c r="J97" s="239"/>
    </row>
    <row r="98" spans="1:10" x14ac:dyDescent="0.2">
      <c r="A98" s="937" t="s">
        <v>597</v>
      </c>
      <c r="B98" s="938"/>
      <c r="C98" s="287" t="e">
        <f>MAX((MIN(C96,520)-C97)*0.2,0)</f>
        <v>#NUM!</v>
      </c>
      <c r="D98" s="287" t="e">
        <f t="shared" ref="D98:H98" si="15">MAX((MIN(D96,520)-D97)*0.2,0)</f>
        <v>#NUM!</v>
      </c>
      <c r="E98" s="287" t="e">
        <f t="shared" si="15"/>
        <v>#NUM!</v>
      </c>
      <c r="F98" s="287" t="e">
        <f t="shared" si="15"/>
        <v>#NUM!</v>
      </c>
      <c r="G98" s="287" t="e">
        <f t="shared" si="15"/>
        <v>#NUM!</v>
      </c>
      <c r="H98" s="287" t="e">
        <f t="shared" si="15"/>
        <v>#NUM!</v>
      </c>
      <c r="I98" s="778"/>
      <c r="J98" s="778"/>
    </row>
    <row r="99" spans="1:10" x14ac:dyDescent="0.2">
      <c r="A99" s="903" t="s">
        <v>60</v>
      </c>
      <c r="B99" s="903"/>
      <c r="C99" s="287" t="e">
        <f>MAX(MIN(C96-520,480)*0.3,0)</f>
        <v>#NUM!</v>
      </c>
      <c r="D99" s="287" t="e">
        <f t="shared" ref="D99:H99" si="16">MAX(MIN(D96-520,480)*0.3,0)</f>
        <v>#NUM!</v>
      </c>
      <c r="E99" s="287" t="e">
        <f t="shared" si="16"/>
        <v>#NUM!</v>
      </c>
      <c r="F99" s="287" t="e">
        <f t="shared" si="16"/>
        <v>#NUM!</v>
      </c>
      <c r="G99" s="287" t="e">
        <f t="shared" si="16"/>
        <v>#NUM!</v>
      </c>
      <c r="H99" s="287" t="e">
        <f t="shared" si="16"/>
        <v>#NUM!</v>
      </c>
      <c r="I99" s="239"/>
      <c r="J99" s="239"/>
    </row>
    <row r="100" spans="1:10" x14ac:dyDescent="0.2">
      <c r="A100" s="903" t="s">
        <v>61</v>
      </c>
      <c r="B100" s="903"/>
      <c r="C100" s="287" t="e">
        <f>IF(Grundfreibeträge!Q6="Kind ü18",Grundfreibeträge!H60,IF(C96&lt;1000,0,IF(C96&gt;=1500,50,ROUND((C96-1000)*10%,2))))</f>
        <v>#NUM!</v>
      </c>
      <c r="D100" s="287" t="e">
        <f>IF(Grundfreibeträge!Q6="Kind ü18",Grundfreibeträge!H61,IF(D96&lt;1000,0,IF(D96&gt;=1500,50,ROUND((D96-1000)*10%,2))))</f>
        <v>#NUM!</v>
      </c>
      <c r="E100" s="287" t="e">
        <f>IF(Grundfreibeträge!Q6="Kind ü18",Grundfreibeträge!H62,IF(E96&lt;1000,0,IF(E96&gt;=1500,50,ROUND((E96-1000)*10%,2))))</f>
        <v>#NUM!</v>
      </c>
      <c r="F100" s="287" t="e">
        <f>IF(Grundfreibeträge!Q6="Kind ü18",Grundfreibeträge!H63,IF(F96&lt;1000,0,IF(F96&gt;=1500,50,ROUND((F96-1000)*10%,2))))</f>
        <v>#NUM!</v>
      </c>
      <c r="G100" s="287" t="e">
        <f>IF(Grundfreibeträge!Q6="Kind ü18",Grundfreibeträge!H64,IF(G96&lt;1000,0,IF(G96&gt;=1500,50,ROUND((G96-1000)*10%,2))))</f>
        <v>#NUM!</v>
      </c>
      <c r="H100" s="287" t="e">
        <f>IF(Grundfreibeträge!Q6="Kind ü18",Grundfreibeträge!H65,IF(H96&lt;1000,0,IF(H96&gt;=1500,50,ROUND((H96-1000)*10%,2))))</f>
        <v>#NUM!</v>
      </c>
      <c r="I100" s="288" t="s">
        <v>48</v>
      </c>
      <c r="J100" s="239"/>
    </row>
    <row r="101" spans="1:10" x14ac:dyDescent="0.2">
      <c r="A101" s="903" t="s">
        <v>62</v>
      </c>
      <c r="B101" s="903"/>
      <c r="C101" s="287" t="e">
        <f>IF(C96=0,0,MAX(C96-C79-C97-C98-C99-C100,0))</f>
        <v>#NUM!</v>
      </c>
      <c r="D101" s="287" t="e">
        <f t="shared" ref="D101:H101" si="17">IF(D96=0,0,MAX(D96-D79-D97-D98-D99-D100,0))</f>
        <v>#NUM!</v>
      </c>
      <c r="E101" s="287" t="e">
        <f t="shared" si="17"/>
        <v>#NUM!</v>
      </c>
      <c r="F101" s="287" t="e">
        <f t="shared" si="17"/>
        <v>#NUM!</v>
      </c>
      <c r="G101" s="287" t="e">
        <f t="shared" si="17"/>
        <v>#NUM!</v>
      </c>
      <c r="H101" s="287" t="e">
        <f t="shared" si="17"/>
        <v>#NUM!</v>
      </c>
      <c r="I101" s="287" t="e">
        <f>SUM(C101:H101)</f>
        <v>#NUM!</v>
      </c>
      <c r="J101" s="239"/>
    </row>
    <row r="102" spans="1:10" x14ac:dyDescent="0.2">
      <c r="A102" s="239"/>
      <c r="B102" s="312"/>
      <c r="C102" s="83" t="e">
        <f>C75+C76+I86</f>
        <v>#NUM!</v>
      </c>
      <c r="D102" s="83" t="e">
        <f>D75+D76+I87</f>
        <v>#NUM!</v>
      </c>
      <c r="E102" s="83" t="e">
        <f>E75+E76+I88</f>
        <v>#NUM!</v>
      </c>
      <c r="F102" s="83" t="e">
        <f>F75+F76+I89</f>
        <v>#NUM!</v>
      </c>
      <c r="G102" s="83" t="e">
        <f>G75+G76+I90</f>
        <v>#NUM!</v>
      </c>
      <c r="H102" s="83" t="e">
        <f>H75+H76+I91</f>
        <v>#NUM!</v>
      </c>
      <c r="I102" s="294"/>
      <c r="J102" s="239"/>
    </row>
    <row r="103" spans="1:10" ht="15" x14ac:dyDescent="0.25">
      <c r="A103" s="239"/>
      <c r="B103" s="239"/>
      <c r="C103" s="83" t="e">
        <f t="shared" ref="C103:H103" si="18">IF(C102=0,0,IF(C102&lt;=100,0,IF(C102&lt;=1000,(C102-100)*20%,IF(C102&gt;1000,180))))</f>
        <v>#NUM!</v>
      </c>
      <c r="D103" s="83" t="e">
        <f t="shared" si="18"/>
        <v>#NUM!</v>
      </c>
      <c r="E103" s="83" t="e">
        <f t="shared" si="18"/>
        <v>#NUM!</v>
      </c>
      <c r="F103" s="83" t="e">
        <f t="shared" si="18"/>
        <v>#NUM!</v>
      </c>
      <c r="G103" s="83" t="e">
        <f t="shared" si="18"/>
        <v>#NUM!</v>
      </c>
      <c r="H103" s="83" t="e">
        <f t="shared" si="18"/>
        <v>#NUM!</v>
      </c>
      <c r="I103" s="313"/>
      <c r="J103" s="239"/>
    </row>
    <row r="104" spans="1:10" ht="15" x14ac:dyDescent="0.25">
      <c r="A104" s="909" t="s">
        <v>63</v>
      </c>
      <c r="B104" s="909"/>
      <c r="C104" s="97" t="e">
        <f t="shared" ref="C104:H104" si="19">IF(C102&lt;1000,0,IF(C102&gt;=1500,50,ROUND((C102-1000)*10%,2)))</f>
        <v>#NUM!</v>
      </c>
      <c r="D104" s="97" t="e">
        <f t="shared" si="19"/>
        <v>#NUM!</v>
      </c>
      <c r="E104" s="97" t="e">
        <f t="shared" si="19"/>
        <v>#NUM!</v>
      </c>
      <c r="F104" s="97" t="e">
        <f t="shared" si="19"/>
        <v>#NUM!</v>
      </c>
      <c r="G104" s="97" t="e">
        <f t="shared" si="19"/>
        <v>#NUM!</v>
      </c>
      <c r="H104" s="97" t="e">
        <f t="shared" si="19"/>
        <v>#NUM!</v>
      </c>
      <c r="I104" s="313"/>
      <c r="J104" s="239"/>
    </row>
    <row r="105" spans="1:10" x14ac:dyDescent="0.2">
      <c r="A105" s="908" t="s">
        <v>64</v>
      </c>
      <c r="B105" s="908"/>
      <c r="C105" s="296">
        <f t="shared" ref="C105:H105" si="20">IF(C76=0,0,(C103+C104)-(C99+C100))</f>
        <v>0</v>
      </c>
      <c r="D105" s="296">
        <f t="shared" si="20"/>
        <v>0</v>
      </c>
      <c r="E105" s="296">
        <f t="shared" si="20"/>
        <v>0</v>
      </c>
      <c r="F105" s="296">
        <f t="shared" si="20"/>
        <v>0</v>
      </c>
      <c r="G105" s="296">
        <f t="shared" si="20"/>
        <v>0</v>
      </c>
      <c r="H105" s="296">
        <f t="shared" si="20"/>
        <v>0</v>
      </c>
      <c r="I105" s="314" t="s">
        <v>48</v>
      </c>
      <c r="J105" s="239"/>
    </row>
    <row r="106" spans="1:10" x14ac:dyDescent="0.2">
      <c r="A106" s="810" t="s">
        <v>65</v>
      </c>
      <c r="B106" s="810"/>
      <c r="C106" s="287">
        <f t="shared" ref="C106:H106" si="21">IF(C76=0,0,IF(AND(C76&gt;0,C96&gt;0),C76-C80-C105,IF(C76-C80-C105-C97&lt;0,0,C76-C80-C105-C97)))</f>
        <v>0</v>
      </c>
      <c r="D106" s="287">
        <f t="shared" si="21"/>
        <v>0</v>
      </c>
      <c r="E106" s="287">
        <f t="shared" si="21"/>
        <v>0</v>
      </c>
      <c r="F106" s="287">
        <f t="shared" si="21"/>
        <v>0</v>
      </c>
      <c r="G106" s="287">
        <f t="shared" si="21"/>
        <v>0</v>
      </c>
      <c r="H106" s="287">
        <f t="shared" si="21"/>
        <v>0</v>
      </c>
      <c r="I106" s="287">
        <f>SUM(C106:H106)</f>
        <v>0</v>
      </c>
      <c r="J106" s="239"/>
    </row>
    <row r="107" spans="1:10" x14ac:dyDescent="0.2">
      <c r="A107" s="239"/>
      <c r="B107" s="239"/>
      <c r="C107" s="239"/>
      <c r="D107" s="239"/>
      <c r="E107" s="239"/>
      <c r="F107" s="239"/>
      <c r="G107" s="239"/>
      <c r="H107" s="239"/>
      <c r="I107" s="239"/>
      <c r="J107" s="239"/>
    </row>
    <row r="108" spans="1:10" x14ac:dyDescent="0.2">
      <c r="A108" s="239"/>
      <c r="B108" s="239"/>
      <c r="C108" s="239"/>
      <c r="D108" s="239"/>
      <c r="E108" s="239"/>
      <c r="F108" s="239"/>
      <c r="G108" s="239"/>
      <c r="H108" s="239"/>
      <c r="I108" s="239"/>
      <c r="J108" s="239"/>
    </row>
    <row r="109" spans="1:10" x14ac:dyDescent="0.2">
      <c r="A109" s="239"/>
      <c r="B109" s="239"/>
      <c r="C109" s="239"/>
      <c r="D109" s="239"/>
      <c r="E109" s="239"/>
      <c r="F109" s="239"/>
      <c r="G109" s="239"/>
      <c r="H109" s="239"/>
      <c r="I109" s="239"/>
      <c r="J109" s="239"/>
    </row>
    <row r="110" spans="1:10" ht="15" x14ac:dyDescent="0.25">
      <c r="A110" s="239"/>
      <c r="B110" s="944" t="s">
        <v>80</v>
      </c>
      <c r="C110" s="945"/>
      <c r="D110" s="946"/>
      <c r="E110" s="350" t="s">
        <v>48</v>
      </c>
      <c r="F110" s="377" t="s">
        <v>49</v>
      </c>
      <c r="G110" s="239"/>
      <c r="H110" s="239"/>
      <c r="I110" s="239"/>
      <c r="J110" s="239"/>
    </row>
    <row r="111" spans="1:10" x14ac:dyDescent="0.2">
      <c r="A111" s="239"/>
      <c r="B111" s="947" t="s">
        <v>81</v>
      </c>
      <c r="C111" s="948"/>
      <c r="D111" s="949"/>
      <c r="E111" s="352" t="e">
        <f>I101+I106</f>
        <v>#NUM!</v>
      </c>
      <c r="F111" s="352" t="e">
        <f>E111/6</f>
        <v>#NUM!</v>
      </c>
      <c r="G111" s="239"/>
      <c r="H111" s="239"/>
      <c r="I111" s="239"/>
      <c r="J111" s="239"/>
    </row>
    <row r="112" spans="1:10" x14ac:dyDescent="0.2">
      <c r="A112" s="239"/>
      <c r="B112" s="947" t="s">
        <v>82</v>
      </c>
      <c r="C112" s="948"/>
      <c r="D112" s="949"/>
      <c r="E112" s="352">
        <f>I64</f>
        <v>0</v>
      </c>
      <c r="F112" s="352">
        <f>E112/6</f>
        <v>0</v>
      </c>
      <c r="G112" s="239"/>
      <c r="H112" s="239"/>
      <c r="I112" s="239"/>
      <c r="J112" s="239"/>
    </row>
    <row r="113" spans="1:10" ht="15" x14ac:dyDescent="0.25">
      <c r="A113" s="239"/>
      <c r="B113" s="239"/>
      <c r="C113" s="239"/>
      <c r="D113" s="239"/>
      <c r="E113" s="378" t="s">
        <v>84</v>
      </c>
      <c r="F113" s="353" t="e">
        <f>F111+F112</f>
        <v>#NUM!</v>
      </c>
      <c r="G113" s="239"/>
      <c r="H113" s="239"/>
      <c r="I113" s="239"/>
      <c r="J113" s="239"/>
    </row>
    <row r="114" spans="1:10" x14ac:dyDescent="0.2">
      <c r="A114" s="239"/>
      <c r="B114" s="239"/>
      <c r="C114" s="239"/>
      <c r="D114" s="239"/>
      <c r="E114" s="239"/>
      <c r="F114" s="239"/>
      <c r="G114" s="239"/>
      <c r="H114" s="239"/>
      <c r="I114" s="239"/>
      <c r="J114" s="239"/>
    </row>
    <row r="115" spans="1:10" x14ac:dyDescent="0.2">
      <c r="A115" s="239"/>
      <c r="B115" s="239"/>
      <c r="C115" s="239"/>
      <c r="D115" s="239"/>
      <c r="E115" s="239"/>
      <c r="F115" s="239"/>
      <c r="G115" s="239"/>
      <c r="H115" s="239"/>
      <c r="I115" s="239"/>
      <c r="J115" s="239"/>
    </row>
    <row r="116" spans="1:10" x14ac:dyDescent="0.2">
      <c r="A116" s="239"/>
      <c r="B116" s="239"/>
      <c r="C116" s="239"/>
      <c r="D116" s="239"/>
      <c r="E116" s="239"/>
      <c r="F116" s="239"/>
      <c r="G116" s="239"/>
      <c r="H116" s="239"/>
      <c r="I116" s="239"/>
      <c r="J116" s="239"/>
    </row>
    <row r="117" spans="1:10" x14ac:dyDescent="0.2">
      <c r="A117" s="239"/>
      <c r="B117" s="239"/>
      <c r="C117" s="239"/>
      <c r="D117" s="239"/>
      <c r="E117" s="239"/>
      <c r="F117" s="239"/>
      <c r="G117" s="239"/>
      <c r="H117" s="239"/>
      <c r="I117" s="239"/>
      <c r="J117" s="239"/>
    </row>
    <row r="118" spans="1:10" x14ac:dyDescent="0.2">
      <c r="A118" s="239"/>
      <c r="B118" s="239"/>
      <c r="C118" s="239"/>
      <c r="D118" s="239"/>
      <c r="E118" s="239"/>
      <c r="F118" s="239"/>
      <c r="G118" s="239"/>
      <c r="H118" s="239"/>
      <c r="I118" s="239"/>
      <c r="J118" s="239"/>
    </row>
    <row r="119" spans="1:10" x14ac:dyDescent="0.2">
      <c r="A119" s="239"/>
      <c r="B119" s="239"/>
      <c r="C119" s="239"/>
      <c r="D119" s="239"/>
      <c r="E119" s="239"/>
      <c r="F119" s="1058" t="s">
        <v>85</v>
      </c>
      <c r="G119" s="1058"/>
      <c r="H119" s="379"/>
      <c r="I119" s="239"/>
      <c r="J119" s="239"/>
    </row>
    <row r="120" spans="1:10" x14ac:dyDescent="0.2">
      <c r="A120" s="239"/>
      <c r="B120" s="239"/>
      <c r="C120" s="239"/>
      <c r="D120" s="239"/>
      <c r="E120" s="239"/>
      <c r="F120" s="1059" t="s">
        <v>86</v>
      </c>
      <c r="G120" s="1059"/>
      <c r="H120" s="380"/>
      <c r="I120" s="239"/>
      <c r="J120" s="239"/>
    </row>
    <row r="121" spans="1:10" ht="15" x14ac:dyDescent="0.25">
      <c r="A121" s="239"/>
      <c r="B121" s="239"/>
      <c r="C121" s="239"/>
      <c r="D121" s="239"/>
      <c r="E121" s="239"/>
      <c r="F121" s="1060" t="s">
        <v>87</v>
      </c>
      <c r="G121" s="1060"/>
      <c r="H121" s="381" t="e">
        <f>IF(Kurzantrag!C20&gt;0,Kurzantrag!C20,ROUND(F113*45%,2))</f>
        <v>#NUM!</v>
      </c>
      <c r="I121" s="239"/>
      <c r="J121" s="239"/>
    </row>
    <row r="122" spans="1:10" x14ac:dyDescent="0.2">
      <c r="A122" s="239"/>
      <c r="B122" s="239"/>
      <c r="C122" s="239"/>
      <c r="D122" s="239"/>
      <c r="E122" s="239"/>
      <c r="F122" s="239"/>
      <c r="G122" s="239"/>
      <c r="H122" s="239"/>
      <c r="I122" s="239"/>
      <c r="J122" s="239"/>
    </row>
    <row r="123" spans="1:10" x14ac:dyDescent="0.2">
      <c r="A123" s="322"/>
      <c r="B123" s="322"/>
      <c r="C123" s="322"/>
      <c r="D123" s="322"/>
      <c r="E123" s="322"/>
      <c r="F123" s="322"/>
      <c r="G123" s="322"/>
      <c r="H123" s="322"/>
      <c r="I123" s="322"/>
      <c r="J123" s="322"/>
    </row>
    <row r="124" spans="1:10" x14ac:dyDescent="0.2">
      <c r="A124" s="239"/>
      <c r="B124" s="239"/>
      <c r="C124" s="239"/>
      <c r="D124" s="239"/>
      <c r="E124" s="239"/>
      <c r="F124" s="239"/>
      <c r="G124" s="239"/>
      <c r="H124" s="239"/>
      <c r="I124" s="239"/>
      <c r="J124" s="239"/>
    </row>
    <row r="125" spans="1:10" x14ac:dyDescent="0.2">
      <c r="A125" s="2"/>
      <c r="B125" s="2"/>
      <c r="C125" s="2"/>
      <c r="D125" s="2"/>
      <c r="E125" s="2"/>
      <c r="F125" s="2"/>
      <c r="G125" s="2"/>
      <c r="H125" s="2"/>
      <c r="I125" s="2"/>
      <c r="J125" s="2"/>
    </row>
    <row r="126" spans="1:10" x14ac:dyDescent="0.2">
      <c r="A126" s="2"/>
      <c r="B126" s="2"/>
      <c r="C126" s="2"/>
      <c r="D126" s="2"/>
      <c r="E126" s="2"/>
      <c r="F126" s="2"/>
      <c r="G126" s="2"/>
      <c r="H126" s="2"/>
      <c r="I126" s="2"/>
      <c r="J126" s="2"/>
    </row>
    <row r="127" spans="1:10" x14ac:dyDescent="0.2">
      <c r="A127" s="2"/>
      <c r="B127" s="2"/>
      <c r="C127" s="2"/>
      <c r="D127" s="2"/>
      <c r="E127" s="2"/>
      <c r="F127" s="2"/>
      <c r="G127" s="2"/>
      <c r="H127" s="2"/>
      <c r="I127" s="2"/>
      <c r="J127" s="2"/>
    </row>
    <row r="128" spans="1:10" x14ac:dyDescent="0.2">
      <c r="A128" s="2"/>
      <c r="B128" s="2"/>
      <c r="C128" s="2"/>
      <c r="D128" s="2"/>
      <c r="E128" s="2"/>
      <c r="F128" s="2"/>
      <c r="G128" s="2"/>
      <c r="H128" s="2"/>
      <c r="I128" s="2"/>
      <c r="J128" s="2"/>
    </row>
    <row r="129" spans="1:10" x14ac:dyDescent="0.2">
      <c r="A129" s="2"/>
      <c r="B129" s="2"/>
      <c r="C129" s="2"/>
      <c r="D129" s="2"/>
      <c r="E129" s="2"/>
      <c r="F129" s="2"/>
      <c r="G129" s="2"/>
      <c r="H129" s="2"/>
      <c r="I129" s="2"/>
      <c r="J129" s="2"/>
    </row>
    <row r="130" spans="1:10" x14ac:dyDescent="0.2">
      <c r="A130" s="2"/>
      <c r="B130" s="2"/>
      <c r="C130" s="2"/>
      <c r="D130" s="2"/>
      <c r="E130" s="2"/>
      <c r="F130" s="2"/>
      <c r="G130" s="2"/>
      <c r="H130" s="2"/>
      <c r="I130" s="2"/>
      <c r="J130" s="2"/>
    </row>
    <row r="131" spans="1:10" x14ac:dyDescent="0.2">
      <c r="A131" s="2"/>
      <c r="B131" s="2"/>
      <c r="C131" s="2"/>
      <c r="D131" s="2"/>
      <c r="E131" s="2"/>
      <c r="F131" s="2"/>
      <c r="G131" s="2"/>
      <c r="H131" s="2"/>
      <c r="I131" s="2"/>
      <c r="J131" s="2"/>
    </row>
  </sheetData>
  <sheetProtection algorithmName="SHA-512" hashValue="kf0NbAmBHMGKfv71fz/9XtaKuyzBxXh5MUEUIhVCklnbG+6zVI+BNQoiw21R84Qy7f3bUMVc0psGSaQwgmQCpA==" saltValue="gj4txwElVOiJ28pb0pHzVg==" spinCount="100000" sheet="1" formatCells="0" formatColumns="0" formatRows="0" insertColumns="0" insertRows="0" insertHyperlinks="0" deleteColumns="0" deleteRows="0" sort="0" autoFilter="0" pivotTables="0"/>
  <mergeCells count="85">
    <mergeCell ref="J76:J77"/>
    <mergeCell ref="J78:J79"/>
    <mergeCell ref="I80:J80"/>
    <mergeCell ref="F119:G119"/>
    <mergeCell ref="F120:G120"/>
    <mergeCell ref="F121:G121"/>
    <mergeCell ref="A104:B104"/>
    <mergeCell ref="A105:B105"/>
    <mergeCell ref="A106:B106"/>
    <mergeCell ref="B110:D110"/>
    <mergeCell ref="B111:D111"/>
    <mergeCell ref="B112:D112"/>
    <mergeCell ref="A101:B101"/>
    <mergeCell ref="A88:B88"/>
    <mergeCell ref="A89:B89"/>
    <mergeCell ref="A90:B90"/>
    <mergeCell ref="A91:B91"/>
    <mergeCell ref="A92:B92"/>
    <mergeCell ref="A93:B93"/>
    <mergeCell ref="A94:B94"/>
    <mergeCell ref="A95:B95"/>
    <mergeCell ref="A97:B97"/>
    <mergeCell ref="A99:B99"/>
    <mergeCell ref="A100:B100"/>
    <mergeCell ref="A98:B98"/>
    <mergeCell ref="A87:B87"/>
    <mergeCell ref="A74:B74"/>
    <mergeCell ref="A75:B75"/>
    <mergeCell ref="A76:B76"/>
    <mergeCell ref="A77:B77"/>
    <mergeCell ref="A79:B79"/>
    <mergeCell ref="A80:B80"/>
    <mergeCell ref="A81:B81"/>
    <mergeCell ref="A82:B82"/>
    <mergeCell ref="A83:B83"/>
    <mergeCell ref="A85:B85"/>
    <mergeCell ref="A86:B86"/>
    <mergeCell ref="A73:B73"/>
    <mergeCell ref="A49:B49"/>
    <mergeCell ref="A50:B50"/>
    <mergeCell ref="A51:B51"/>
    <mergeCell ref="A52:B52"/>
    <mergeCell ref="A53:B53"/>
    <mergeCell ref="A56:B56"/>
    <mergeCell ref="A57:B57"/>
    <mergeCell ref="A58:B58"/>
    <mergeCell ref="A59:B59"/>
    <mergeCell ref="A60:B60"/>
    <mergeCell ref="C72:H72"/>
    <mergeCell ref="A48:B48"/>
    <mergeCell ref="B32:C32"/>
    <mergeCell ref="A37:B37"/>
    <mergeCell ref="A38:B38"/>
    <mergeCell ref="A39:B39"/>
    <mergeCell ref="A41:B41"/>
    <mergeCell ref="A42:B42"/>
    <mergeCell ref="A43:B43"/>
    <mergeCell ref="A44:B44"/>
    <mergeCell ref="A45:B45"/>
    <mergeCell ref="A46:B46"/>
    <mergeCell ref="A47:B47"/>
    <mergeCell ref="B31:C31"/>
    <mergeCell ref="A16:B16"/>
    <mergeCell ref="A18:B18"/>
    <mergeCell ref="A20:B20"/>
    <mergeCell ref="A21:B21"/>
    <mergeCell ref="A22:B22"/>
    <mergeCell ref="A24:B24"/>
    <mergeCell ref="A25:B25"/>
    <mergeCell ref="A26:B26"/>
    <mergeCell ref="A27:B27"/>
    <mergeCell ref="A29:B29"/>
    <mergeCell ref="B30:C30"/>
    <mergeCell ref="A15:B15"/>
    <mergeCell ref="C1:H1"/>
    <mergeCell ref="A3:B3"/>
    <mergeCell ref="A4:B4"/>
    <mergeCell ref="A5:B5"/>
    <mergeCell ref="A6:B6"/>
    <mergeCell ref="A8:B8"/>
    <mergeCell ref="A9:B9"/>
    <mergeCell ref="A10:B10"/>
    <mergeCell ref="A11:B11"/>
    <mergeCell ref="A13:B13"/>
    <mergeCell ref="A14:B14"/>
  </mergeCells>
  <dataValidations count="3">
    <dataValidation type="list" allowBlank="1" showInputMessage="1" showErrorMessage="1" sqref="C74:H74" xr:uid="{00000000-0002-0000-0E00-000000000000}">
      <formula1>".,ja,nein"</formula1>
    </dataValidation>
    <dataValidation type="decimal" allowBlank="1" showInputMessage="1" showErrorMessage="1" error="Der eingegebene Wert ist unzulässig. Bitte geben Sie eine Zahl ein, die größer 0 ist." sqref="C3:H6 C8:H11 C13:H16 C18:H22 C24:H27 C38:H39 C41:H41 C43:H45 C47:H49 C52:H53 C57:H59 C75:H77 C79:H82 C86:H88 C90:H95" xr:uid="{00000000-0002-0000-0E00-000001000000}">
      <formula1>0</formula1>
      <formula2>1000000</formula2>
    </dataValidation>
    <dataValidation allowBlank="1" showInputMessage="1" showErrorMessage="1" prompt="Bitte geben Sie das Datum im Format MM/JJ ein (z.B. 03/19)." sqref="J76:J79" xr:uid="{00000000-0002-0000-0E00-000002000000}"/>
  </dataValidations>
  <pageMargins left="0.7" right="0.7" top="0.78740157499999996" bottom="0.78740157499999996" header="0.3" footer="0.3"/>
  <pageSetup paperSize="9" orientation="landscape" r:id="rId1"/>
  <headerFooter>
    <oddHeader>&amp;L&amp;"Arial,Fett"&amp;U4. Ermittlung des anzurechgnenden Einkommens des Kindes / der Kinder:
4.9. Einkommensermittlung Kind 9:&amp;"Arial,Standard"&amp;U
&amp;R&amp;D</oddHeader>
    <oddFooter>&amp;R&amp;P</oddFooter>
  </headerFooter>
  <rowBreaks count="1" manualBreakCount="1">
    <brk id="102" max="16383"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1"/>
  <dimension ref="A1:J133"/>
  <sheetViews>
    <sheetView showGridLines="0" zoomScaleNormal="100" workbookViewId="0">
      <selection activeCell="C18" sqref="C18"/>
    </sheetView>
  </sheetViews>
  <sheetFormatPr baseColWidth="10" defaultRowHeight="14.25" x14ac:dyDescent="0.2"/>
  <cols>
    <col min="1" max="16384" width="11" style="1"/>
  </cols>
  <sheetData>
    <row r="1" spans="1:10" ht="15" x14ac:dyDescent="0.25">
      <c r="A1" s="313"/>
      <c r="B1" s="240"/>
      <c r="C1" s="914" t="s">
        <v>251</v>
      </c>
      <c r="D1" s="914"/>
      <c r="E1" s="914"/>
      <c r="F1" s="914"/>
      <c r="G1" s="914"/>
      <c r="H1" s="914"/>
      <c r="I1" s="239"/>
      <c r="J1" s="239"/>
    </row>
    <row r="2" spans="1:10" ht="15" x14ac:dyDescent="0.25">
      <c r="A2" s="407" t="s">
        <v>29</v>
      </c>
      <c r="B2" s="408"/>
      <c r="C2" s="255" t="e">
        <f>EDATE(BG!D2,-6)</f>
        <v>#NUM!</v>
      </c>
      <c r="D2" s="255" t="e">
        <f>EDATE(BG!D2,-5)</f>
        <v>#NUM!</v>
      </c>
      <c r="E2" s="255" t="e">
        <f>EDATE(BG!D2,-4)</f>
        <v>#NUM!</v>
      </c>
      <c r="F2" s="255" t="e">
        <f>EDATE(BG!D2,-3)</f>
        <v>#NUM!</v>
      </c>
      <c r="G2" s="255" t="e">
        <f>EDATE(BG!D2,-2)</f>
        <v>#NUM!</v>
      </c>
      <c r="H2" s="255" t="e">
        <f>EDATE(BG!D2,-1)</f>
        <v>#NUM!</v>
      </c>
      <c r="I2" s="292"/>
      <c r="J2" s="292"/>
    </row>
    <row r="3" spans="1:10" x14ac:dyDescent="0.2">
      <c r="A3" s="892" t="s">
        <v>66</v>
      </c>
      <c r="B3" s="893"/>
      <c r="C3" s="297"/>
      <c r="D3" s="297"/>
      <c r="E3" s="297"/>
      <c r="F3" s="297"/>
      <c r="G3" s="297"/>
      <c r="H3" s="297"/>
      <c r="I3" s="294"/>
      <c r="J3" s="294"/>
    </row>
    <row r="4" spans="1:10" x14ac:dyDescent="0.2">
      <c r="A4" s="886" t="s">
        <v>38</v>
      </c>
      <c r="B4" s="887"/>
      <c r="C4" s="298"/>
      <c r="D4" s="298"/>
      <c r="E4" s="298"/>
      <c r="F4" s="298"/>
      <c r="G4" s="298"/>
      <c r="H4" s="298"/>
      <c r="I4" s="294"/>
      <c r="J4" s="294"/>
    </row>
    <row r="5" spans="1:10" x14ac:dyDescent="0.2">
      <c r="A5" s="888" t="s">
        <v>67</v>
      </c>
      <c r="B5" s="889"/>
      <c r="C5" s="317"/>
      <c r="D5" s="317"/>
      <c r="E5" s="317"/>
      <c r="F5" s="317"/>
      <c r="G5" s="317"/>
      <c r="H5" s="317"/>
      <c r="I5" s="294"/>
      <c r="J5" s="294"/>
    </row>
    <row r="6" spans="1:10" x14ac:dyDescent="0.2">
      <c r="A6" s="912" t="s">
        <v>68</v>
      </c>
      <c r="B6" s="913"/>
      <c r="C6" s="318"/>
      <c r="D6" s="318"/>
      <c r="E6" s="318"/>
      <c r="F6" s="318"/>
      <c r="G6" s="318"/>
      <c r="H6" s="318"/>
      <c r="I6" s="294"/>
      <c r="J6" s="294"/>
    </row>
    <row r="7" spans="1:10" x14ac:dyDescent="0.2">
      <c r="A7" s="319"/>
      <c r="B7" s="319"/>
      <c r="C7" s="143">
        <f t="shared" ref="C7:H7" si="0">IF((C3+C4)=0,0,IF(AND((C3-C5)&gt;=0,(C4-C6)&gt;=0),(C3+C4-C5-C6),IF(AND((C3-C5)&gt;0,(C4-C6)&lt;0),(C3-C5),IF(AND((C3-C5)&lt;0,(C4-C6)&gt;0),(C4-C6),IF((C3-C5)&gt;0,(C3-C5),IF((C3-C5)&lt;0,0))))))</f>
        <v>0</v>
      </c>
      <c r="D7" s="143">
        <f t="shared" si="0"/>
        <v>0</v>
      </c>
      <c r="E7" s="143">
        <f t="shared" si="0"/>
        <v>0</v>
      </c>
      <c r="F7" s="143">
        <f t="shared" si="0"/>
        <v>0</v>
      </c>
      <c r="G7" s="143">
        <f t="shared" si="0"/>
        <v>0</v>
      </c>
      <c r="H7" s="143">
        <f t="shared" si="0"/>
        <v>0</v>
      </c>
      <c r="I7" s="240"/>
      <c r="J7" s="240"/>
    </row>
    <row r="8" spans="1:10" x14ac:dyDescent="0.2">
      <c r="A8" s="933" t="s">
        <v>69</v>
      </c>
      <c r="B8" s="934"/>
      <c r="C8" s="297"/>
      <c r="D8" s="297"/>
      <c r="E8" s="297"/>
      <c r="F8" s="297"/>
      <c r="G8" s="297"/>
      <c r="H8" s="297"/>
      <c r="I8" s="294"/>
      <c r="J8" s="294"/>
    </row>
    <row r="9" spans="1:10" x14ac:dyDescent="0.2">
      <c r="A9" s="935" t="s">
        <v>38</v>
      </c>
      <c r="B9" s="936"/>
      <c r="C9" s="298"/>
      <c r="D9" s="298"/>
      <c r="E9" s="298"/>
      <c r="F9" s="298"/>
      <c r="G9" s="298"/>
      <c r="H9" s="298"/>
      <c r="I9" s="294"/>
      <c r="J9" s="294"/>
    </row>
    <row r="10" spans="1:10" x14ac:dyDescent="0.2">
      <c r="A10" s="888" t="s">
        <v>67</v>
      </c>
      <c r="B10" s="889"/>
      <c r="C10" s="297"/>
      <c r="D10" s="297"/>
      <c r="E10" s="297"/>
      <c r="F10" s="297"/>
      <c r="G10" s="297"/>
      <c r="H10" s="297"/>
      <c r="I10" s="294"/>
      <c r="J10" s="294"/>
    </row>
    <row r="11" spans="1:10" x14ac:dyDescent="0.2">
      <c r="A11" s="912" t="s">
        <v>68</v>
      </c>
      <c r="B11" s="913"/>
      <c r="C11" s="318"/>
      <c r="D11" s="318"/>
      <c r="E11" s="318"/>
      <c r="F11" s="318"/>
      <c r="G11" s="318"/>
      <c r="H11" s="318"/>
      <c r="I11" s="294"/>
      <c r="J11" s="294"/>
    </row>
    <row r="12" spans="1:10" x14ac:dyDescent="0.2">
      <c r="A12" s="321"/>
      <c r="B12" s="321"/>
      <c r="C12" s="143">
        <f t="shared" ref="C12:H12" si="1">IF((C8+C9)=0,0,IF(AND((C8-C10)&gt;=0,(C9-C11)&gt;=0),(C8+C9-C10-C11),IF(AND((C8-C10)&gt;0,(C9-C11)&lt;0),(C8-C10),IF(AND((C8-C10)&lt;0,(C9-C11)&gt;0),(C9-C11),IF((C8-C10)&gt;0,(C8-C10),IF((C8-C10)&lt;0,0))))))</f>
        <v>0</v>
      </c>
      <c r="D12" s="143">
        <f t="shared" si="1"/>
        <v>0</v>
      </c>
      <c r="E12" s="143">
        <f t="shared" si="1"/>
        <v>0</v>
      </c>
      <c r="F12" s="143">
        <f t="shared" si="1"/>
        <v>0</v>
      </c>
      <c r="G12" s="143">
        <f t="shared" si="1"/>
        <v>0</v>
      </c>
      <c r="H12" s="143">
        <f t="shared" si="1"/>
        <v>0</v>
      </c>
      <c r="I12" s="240"/>
      <c r="J12" s="240"/>
    </row>
    <row r="13" spans="1:10" x14ac:dyDescent="0.2">
      <c r="A13" s="892" t="s">
        <v>70</v>
      </c>
      <c r="B13" s="893"/>
      <c r="C13" s="297"/>
      <c r="D13" s="297"/>
      <c r="E13" s="297"/>
      <c r="F13" s="297"/>
      <c r="G13" s="297"/>
      <c r="H13" s="297"/>
      <c r="I13" s="294"/>
      <c r="J13" s="294"/>
    </row>
    <row r="14" spans="1:10" x14ac:dyDescent="0.2">
      <c r="A14" s="886" t="s">
        <v>38</v>
      </c>
      <c r="B14" s="887"/>
      <c r="C14" s="298"/>
      <c r="D14" s="298"/>
      <c r="E14" s="298"/>
      <c r="F14" s="298"/>
      <c r="G14" s="298"/>
      <c r="H14" s="298"/>
      <c r="I14" s="294"/>
      <c r="J14" s="294"/>
    </row>
    <row r="15" spans="1:10" x14ac:dyDescent="0.2">
      <c r="A15" s="888" t="s">
        <v>67</v>
      </c>
      <c r="B15" s="889"/>
      <c r="C15" s="323"/>
      <c r="D15" s="297"/>
      <c r="E15" s="297"/>
      <c r="F15" s="297"/>
      <c r="G15" s="297"/>
      <c r="H15" s="297"/>
      <c r="I15" s="294"/>
      <c r="J15" s="294"/>
    </row>
    <row r="16" spans="1:10" x14ac:dyDescent="0.2">
      <c r="A16" s="912" t="s">
        <v>68</v>
      </c>
      <c r="B16" s="913"/>
      <c r="C16" s="324"/>
      <c r="D16" s="325"/>
      <c r="E16" s="325"/>
      <c r="F16" s="325"/>
      <c r="G16" s="325"/>
      <c r="H16" s="325"/>
      <c r="I16" s="294"/>
      <c r="J16" s="294"/>
    </row>
    <row r="17" spans="1:10" x14ac:dyDescent="0.2">
      <c r="A17" s="321"/>
      <c r="B17" s="321"/>
      <c r="C17" s="143">
        <f t="shared" ref="C17:H17" si="2">IF((C13+C14)=0,0,IF(AND((C13-C15)&gt;=0,(C14-C16)&gt;=0),(C13+C14-C15-C16),IF(AND((C13-C15)&gt;0,(C14-C16)&lt;0),(C13-C15),IF(AND((C13-C15)&lt;0,(C14-C16)&gt;0),(C14-C16),IF((C13-C15)&gt;0,(C13-C15),IF((C13-C15)&lt;0,0))))))</f>
        <v>0</v>
      </c>
      <c r="D17" s="143">
        <f t="shared" si="2"/>
        <v>0</v>
      </c>
      <c r="E17" s="143">
        <f t="shared" si="2"/>
        <v>0</v>
      </c>
      <c r="F17" s="143">
        <f t="shared" si="2"/>
        <v>0</v>
      </c>
      <c r="G17" s="143">
        <f t="shared" si="2"/>
        <v>0</v>
      </c>
      <c r="H17" s="143">
        <f t="shared" si="2"/>
        <v>0</v>
      </c>
      <c r="I17" s="240"/>
      <c r="J17" s="240"/>
    </row>
    <row r="18" spans="1:10" x14ac:dyDescent="0.2">
      <c r="A18" s="892" t="s">
        <v>516</v>
      </c>
      <c r="B18" s="893"/>
      <c r="C18" s="328"/>
      <c r="D18" s="328"/>
      <c r="E18" s="328"/>
      <c r="F18" s="328"/>
      <c r="G18" s="328"/>
      <c r="H18" s="328"/>
      <c r="I18" s="294"/>
      <c r="J18" s="294"/>
    </row>
    <row r="19" spans="1:10" x14ac:dyDescent="0.2">
      <c r="A19" s="607"/>
      <c r="B19" s="608" t="s">
        <v>517</v>
      </c>
      <c r="C19" s="609"/>
      <c r="D19" s="609"/>
      <c r="E19" s="609"/>
      <c r="F19" s="609"/>
      <c r="G19" s="609"/>
      <c r="H19" s="609"/>
      <c r="I19" s="294"/>
      <c r="J19" s="294"/>
    </row>
    <row r="20" spans="1:10" x14ac:dyDescent="0.2">
      <c r="A20" s="886" t="s">
        <v>515</v>
      </c>
      <c r="B20" s="887"/>
      <c r="C20" s="362"/>
      <c r="D20" s="362"/>
      <c r="E20" s="362"/>
      <c r="F20" s="362"/>
      <c r="G20" s="362"/>
      <c r="H20" s="362"/>
      <c r="I20" s="294"/>
      <c r="J20" s="294"/>
    </row>
    <row r="21" spans="1:10" x14ac:dyDescent="0.2">
      <c r="A21" s="888" t="s">
        <v>67</v>
      </c>
      <c r="B21" s="889"/>
      <c r="C21" s="323"/>
      <c r="D21" s="328"/>
      <c r="E21" s="328"/>
      <c r="F21" s="328"/>
      <c r="G21" s="328"/>
      <c r="H21" s="328"/>
      <c r="I21" s="294"/>
      <c r="J21" s="294"/>
    </row>
    <row r="22" spans="1:10" x14ac:dyDescent="0.2">
      <c r="A22" s="912" t="s">
        <v>68</v>
      </c>
      <c r="B22" s="913"/>
      <c r="C22" s="329"/>
      <c r="D22" s="318"/>
      <c r="E22" s="318"/>
      <c r="F22" s="318"/>
      <c r="G22" s="318"/>
      <c r="H22" s="318"/>
      <c r="I22" s="294"/>
      <c r="J22" s="294"/>
    </row>
    <row r="23" spans="1:10" s="614" customFormat="1" x14ac:dyDescent="0.2">
      <c r="A23" s="615"/>
      <c r="B23" s="615"/>
      <c r="C23" s="143">
        <f>IF((C18+C19+C20)=0,0,IF(AND((C18+C19-C21)&gt;=0,(C20-C22)&gt;=0),(C18+C19+C20-C21-C22),IF(AND((C18+C19-C21)&gt;0,(C20-C22)&lt;0),(C18+C19-C21),IF(AND((C18+C19-C21)&lt;0,(C20-C22)&gt;0),(C20-C22),IF((C18+C19-C21)&gt;0,(C18+C19-C21),IF((C18+C19-C21)&lt;0,0))))))</f>
        <v>0</v>
      </c>
      <c r="D23" s="143">
        <f t="shared" ref="D23:H23" si="3">IF((D18+D19+D20)=0,0,IF(AND((D18+D19-D21)&gt;=0,(D20-D22)&gt;=0),(D18+D19+D20-D21-D22),IF(AND((D18+D19-D21)&gt;0,(D20-D22)&lt;0),(D18+D19-D21),IF(AND((D18+D19-D21)&lt;0,(D20-D22)&gt;0),(D20-D22),IF((D18+D19-D21)&gt;0,(D18+D19-D21),IF((D18+D19-D21)&lt;0,0))))))</f>
        <v>0</v>
      </c>
      <c r="E23" s="143">
        <f t="shared" si="3"/>
        <v>0</v>
      </c>
      <c r="F23" s="143">
        <f t="shared" si="3"/>
        <v>0</v>
      </c>
      <c r="G23" s="143">
        <f t="shared" si="3"/>
        <v>0</v>
      </c>
      <c r="H23" s="143">
        <f t="shared" si="3"/>
        <v>0</v>
      </c>
      <c r="I23" s="81"/>
      <c r="J23" s="81"/>
    </row>
    <row r="24" spans="1:10" x14ac:dyDescent="0.2">
      <c r="A24" s="892" t="s">
        <v>71</v>
      </c>
      <c r="B24" s="893"/>
      <c r="C24" s="297"/>
      <c r="D24" s="297"/>
      <c r="E24" s="297"/>
      <c r="F24" s="297"/>
      <c r="G24" s="297"/>
      <c r="H24" s="297"/>
      <c r="I24" s="294"/>
      <c r="J24" s="294"/>
    </row>
    <row r="25" spans="1:10" x14ac:dyDescent="0.2">
      <c r="A25" s="886" t="s">
        <v>38</v>
      </c>
      <c r="B25" s="887"/>
      <c r="C25" s="298"/>
      <c r="D25" s="298"/>
      <c r="E25" s="298"/>
      <c r="F25" s="298"/>
      <c r="G25" s="298"/>
      <c r="H25" s="298"/>
      <c r="I25" s="294"/>
      <c r="J25" s="294"/>
    </row>
    <row r="26" spans="1:10" x14ac:dyDescent="0.2">
      <c r="A26" s="888" t="s">
        <v>67</v>
      </c>
      <c r="B26" s="889"/>
      <c r="C26" s="323"/>
      <c r="D26" s="297"/>
      <c r="E26" s="297"/>
      <c r="F26" s="297"/>
      <c r="G26" s="297"/>
      <c r="H26" s="297"/>
      <c r="I26" s="294"/>
      <c r="J26" s="294"/>
    </row>
    <row r="27" spans="1:10" x14ac:dyDescent="0.2">
      <c r="A27" s="890" t="s">
        <v>68</v>
      </c>
      <c r="B27" s="891"/>
      <c r="C27" s="329"/>
      <c r="D27" s="318"/>
      <c r="E27" s="318"/>
      <c r="F27" s="318"/>
      <c r="G27" s="318"/>
      <c r="H27" s="318"/>
      <c r="I27" s="294"/>
      <c r="J27" s="294"/>
    </row>
    <row r="28" spans="1:10" x14ac:dyDescent="0.2">
      <c r="A28" s="331"/>
      <c r="B28" s="330"/>
      <c r="C28" s="144">
        <f t="shared" ref="C28:H28" si="4">IF((C24+C25)=0,0,IF(AND((C24-C26)&gt;=0,(C25-C27)&gt;=0),(C24+C25-C26-C27),IF(AND((C24-C26)&gt;0,(C25-C27)&lt;0),(C24-C26),IF(AND((C24-C26)&lt;0,(C25-C27)&gt;0),(C25-C27),IF((C24-C26)&gt;0,(C24-C26),IF((C24-C26)&lt;0,0))))))</f>
        <v>0</v>
      </c>
      <c r="D28" s="144">
        <f t="shared" si="4"/>
        <v>0</v>
      </c>
      <c r="E28" s="144">
        <f t="shared" si="4"/>
        <v>0</v>
      </c>
      <c r="F28" s="144">
        <f t="shared" si="4"/>
        <v>0</v>
      </c>
      <c r="G28" s="144">
        <f t="shared" si="4"/>
        <v>0</v>
      </c>
      <c r="H28" s="144">
        <f t="shared" si="4"/>
        <v>0</v>
      </c>
      <c r="I28" s="239"/>
      <c r="J28" s="239"/>
    </row>
    <row r="29" spans="1:10" s="614" customFormat="1" x14ac:dyDescent="0.2">
      <c r="A29" s="1061"/>
      <c r="B29" s="1061"/>
      <c r="C29" s="617">
        <f>IF(AND(C18&gt;0,AS!C53&gt;0),C18,0)</f>
        <v>0</v>
      </c>
      <c r="D29" s="617">
        <f>IF(AND(D18&gt;0,AS!D53&gt;0),D18,0)</f>
        <v>0</v>
      </c>
      <c r="E29" s="617">
        <f>IF(AND(E18&gt;0,AS!E53&gt;0),E18,0)</f>
        <v>0</v>
      </c>
      <c r="F29" s="617">
        <f>IF(AND(F18&gt;0,AS!F53&gt;0),F18,0)</f>
        <v>0</v>
      </c>
      <c r="G29" s="617">
        <f>IF(AND(G18&gt;0,AS!G53&gt;0),G18,0)</f>
        <v>0</v>
      </c>
      <c r="H29" s="617">
        <f>IF(AND(H18&gt;0,AS!H53&gt;0),H18,0)</f>
        <v>0</v>
      </c>
      <c r="I29" s="84"/>
      <c r="J29" s="613"/>
    </row>
    <row r="30" spans="1:10" x14ac:dyDescent="0.2">
      <c r="A30" s="239"/>
      <c r="B30" s="1044"/>
      <c r="C30" s="1044"/>
      <c r="D30" s="409"/>
      <c r="E30" s="409"/>
      <c r="F30" s="409"/>
      <c r="G30" s="409"/>
      <c r="H30" s="409"/>
      <c r="I30" s="409"/>
      <c r="J30" s="239"/>
    </row>
    <row r="31" spans="1:10" x14ac:dyDescent="0.2">
      <c r="A31" s="239"/>
      <c r="B31" s="1045"/>
      <c r="C31" s="1045"/>
      <c r="D31" s="334"/>
      <c r="E31" s="334"/>
      <c r="F31" s="334"/>
      <c r="G31" s="334"/>
      <c r="H31" s="334"/>
      <c r="I31" s="334"/>
      <c r="J31" s="239"/>
    </row>
    <row r="32" spans="1:10" x14ac:dyDescent="0.2">
      <c r="A32" s="239"/>
      <c r="B32" s="1045"/>
      <c r="C32" s="1045"/>
      <c r="D32" s="334"/>
      <c r="E32" s="334"/>
      <c r="F32" s="334"/>
      <c r="G32" s="334"/>
      <c r="H32" s="334"/>
      <c r="I32" s="334"/>
      <c r="J32" s="239"/>
    </row>
    <row r="33" spans="1:10" x14ac:dyDescent="0.2">
      <c r="A33" s="239"/>
      <c r="B33" s="332"/>
      <c r="C33" s="332"/>
      <c r="D33" s="334"/>
      <c r="E33" s="334"/>
      <c r="F33" s="334"/>
      <c r="G33" s="334"/>
      <c r="H33" s="334"/>
      <c r="I33" s="334"/>
      <c r="J33" s="239"/>
    </row>
    <row r="34" spans="1:10" x14ac:dyDescent="0.2">
      <c r="A34" s="239"/>
      <c r="B34" s="239"/>
      <c r="C34" s="239"/>
      <c r="D34" s="239"/>
      <c r="E34" s="239"/>
      <c r="F34" s="239"/>
      <c r="G34" s="239"/>
      <c r="H34" s="239"/>
      <c r="I34" s="239"/>
      <c r="J34" s="239"/>
    </row>
    <row r="35" spans="1:10" x14ac:dyDescent="0.2">
      <c r="A35" s="239"/>
      <c r="B35" s="239"/>
      <c r="C35" s="239"/>
      <c r="D35" s="239"/>
      <c r="E35" s="239"/>
      <c r="F35" s="239"/>
      <c r="G35" s="239"/>
      <c r="H35" s="239"/>
      <c r="I35" s="239"/>
      <c r="J35" s="239"/>
    </row>
    <row r="36" spans="1:10" x14ac:dyDescent="0.2">
      <c r="A36" s="239"/>
      <c r="B36" s="239"/>
      <c r="C36" s="239"/>
      <c r="D36" s="239"/>
      <c r="E36" s="239"/>
      <c r="F36" s="239"/>
      <c r="G36" s="239"/>
      <c r="H36" s="239"/>
      <c r="I36" s="239"/>
      <c r="J36" s="239"/>
    </row>
    <row r="37" spans="1:10" ht="15" x14ac:dyDescent="0.25">
      <c r="A37" s="931" t="s">
        <v>29</v>
      </c>
      <c r="B37" s="932"/>
      <c r="C37" s="255" t="e">
        <f>EDATE(BG!D2,-6)</f>
        <v>#NUM!</v>
      </c>
      <c r="D37" s="255" t="e">
        <f>EDATE(BG!D2,-5)</f>
        <v>#NUM!</v>
      </c>
      <c r="E37" s="255" t="e">
        <f>EDATE(BG!D2,-4)</f>
        <v>#NUM!</v>
      </c>
      <c r="F37" s="255" t="e">
        <f>EDATE(BG!D2,-3)</f>
        <v>#NUM!</v>
      </c>
      <c r="G37" s="255" t="e">
        <f>EDATE(BG!D2,-2)</f>
        <v>#NUM!</v>
      </c>
      <c r="H37" s="255" t="e">
        <f>EDATE(BG!D2,-1)</f>
        <v>#NUM!</v>
      </c>
      <c r="I37" s="292"/>
      <c r="J37" s="292"/>
    </row>
    <row r="38" spans="1:10" x14ac:dyDescent="0.2">
      <c r="A38" s="896" t="s">
        <v>73</v>
      </c>
      <c r="B38" s="897"/>
      <c r="C38" s="333"/>
      <c r="D38" s="333"/>
      <c r="E38" s="333"/>
      <c r="F38" s="333"/>
      <c r="G38" s="333"/>
      <c r="H38" s="333"/>
      <c r="I38" s="294"/>
      <c r="J38" s="294"/>
    </row>
    <row r="39" spans="1:10" x14ac:dyDescent="0.2">
      <c r="A39" s="868" t="s">
        <v>74</v>
      </c>
      <c r="B39" s="869"/>
      <c r="C39" s="333"/>
      <c r="D39" s="333"/>
      <c r="E39" s="333"/>
      <c r="F39" s="333"/>
      <c r="G39" s="333"/>
      <c r="H39" s="333"/>
      <c r="I39" s="294"/>
      <c r="J39" s="294"/>
    </row>
    <row r="40" spans="1:10" x14ac:dyDescent="0.2">
      <c r="A40" s="239"/>
      <c r="B40" s="239"/>
      <c r="C40" s="239"/>
      <c r="D40" s="239"/>
      <c r="E40" s="239"/>
      <c r="F40" s="239"/>
      <c r="G40" s="239"/>
      <c r="H40" s="239"/>
      <c r="I40" s="240"/>
      <c r="J40" s="240"/>
    </row>
    <row r="41" spans="1:10" x14ac:dyDescent="0.2">
      <c r="A41" s="1046" t="s">
        <v>252</v>
      </c>
      <c r="B41" s="1047"/>
      <c r="C41" s="363"/>
      <c r="D41" s="363"/>
      <c r="E41" s="363"/>
      <c r="F41" s="363"/>
      <c r="G41" s="363"/>
      <c r="H41" s="363"/>
      <c r="I41" s="294"/>
      <c r="J41" s="294"/>
    </row>
    <row r="42" spans="1:10" x14ac:dyDescent="0.2">
      <c r="A42" s="1042" t="s">
        <v>313</v>
      </c>
      <c r="B42" s="1043"/>
      <c r="C42" s="294"/>
      <c r="D42" s="294"/>
      <c r="E42" s="294"/>
      <c r="F42" s="294"/>
      <c r="G42" s="294"/>
      <c r="H42" s="410"/>
      <c r="I42" s="240"/>
      <c r="J42" s="240"/>
    </row>
    <row r="43" spans="1:10" x14ac:dyDescent="0.2">
      <c r="A43" s="884" t="s">
        <v>314</v>
      </c>
      <c r="B43" s="885"/>
      <c r="C43" s="336"/>
      <c r="D43" s="336"/>
      <c r="E43" s="336"/>
      <c r="F43" s="336"/>
      <c r="G43" s="336"/>
      <c r="H43" s="336"/>
      <c r="I43" s="294"/>
      <c r="J43" s="294"/>
    </row>
    <row r="44" spans="1:10" x14ac:dyDescent="0.2">
      <c r="A44" s="880" t="s">
        <v>495</v>
      </c>
      <c r="B44" s="881"/>
      <c r="C44" s="339"/>
      <c r="D44" s="339"/>
      <c r="E44" s="339"/>
      <c r="F44" s="339"/>
      <c r="G44" s="339"/>
      <c r="H44" s="339"/>
      <c r="I44" s="294"/>
      <c r="J44" s="294"/>
    </row>
    <row r="45" spans="1:10" x14ac:dyDescent="0.2">
      <c r="A45" s="882" t="s">
        <v>316</v>
      </c>
      <c r="B45" s="883"/>
      <c r="C45" s="339"/>
      <c r="D45" s="339"/>
      <c r="E45" s="339"/>
      <c r="F45" s="339"/>
      <c r="G45" s="339"/>
      <c r="H45" s="339"/>
      <c r="I45" s="294"/>
      <c r="J45" s="294"/>
    </row>
    <row r="46" spans="1:10" x14ac:dyDescent="0.2">
      <c r="A46" s="870" t="s">
        <v>317</v>
      </c>
      <c r="B46" s="871"/>
      <c r="C46" s="340" t="e">
        <f t="shared" ref="C46:H46" si="5">IF(AND(C96=0,C41&gt;0,C61&gt;17),30,0)</f>
        <v>#NUM!</v>
      </c>
      <c r="D46" s="340" t="e">
        <f t="shared" si="5"/>
        <v>#NUM!</v>
      </c>
      <c r="E46" s="340" t="e">
        <f t="shared" si="5"/>
        <v>#NUM!</v>
      </c>
      <c r="F46" s="340" t="e">
        <f t="shared" si="5"/>
        <v>#NUM!</v>
      </c>
      <c r="G46" s="340" t="e">
        <f t="shared" si="5"/>
        <v>#NUM!</v>
      </c>
      <c r="H46" s="340" t="e">
        <f t="shared" si="5"/>
        <v>#NUM!</v>
      </c>
      <c r="I46" s="240"/>
      <c r="J46" s="240"/>
    </row>
    <row r="47" spans="1:10" x14ac:dyDescent="0.2">
      <c r="A47" s="872" t="s">
        <v>58</v>
      </c>
      <c r="B47" s="872"/>
      <c r="C47" s="364"/>
      <c r="D47" s="364"/>
      <c r="E47" s="364"/>
      <c r="F47" s="364"/>
      <c r="G47" s="364"/>
      <c r="H47" s="364"/>
      <c r="I47" s="294"/>
      <c r="J47" s="294"/>
    </row>
    <row r="48" spans="1:10" x14ac:dyDescent="0.2">
      <c r="A48" s="873" t="s">
        <v>318</v>
      </c>
      <c r="B48" s="874"/>
      <c r="C48" s="336"/>
      <c r="D48" s="336"/>
      <c r="E48" s="336"/>
      <c r="F48" s="336"/>
      <c r="G48" s="336"/>
      <c r="H48" s="336"/>
      <c r="I48" s="294"/>
      <c r="J48" s="294"/>
    </row>
    <row r="49" spans="1:10" x14ac:dyDescent="0.2">
      <c r="A49" s="810" t="s">
        <v>319</v>
      </c>
      <c r="B49" s="810"/>
      <c r="C49" s="337"/>
      <c r="D49" s="337"/>
      <c r="E49" s="337"/>
      <c r="F49" s="337"/>
      <c r="G49" s="337"/>
      <c r="H49" s="337"/>
      <c r="I49" s="294"/>
      <c r="J49" s="294"/>
    </row>
    <row r="50" spans="1:10" x14ac:dyDescent="0.2">
      <c r="A50" s="810" t="s">
        <v>320</v>
      </c>
      <c r="B50" s="810"/>
      <c r="C50" s="287">
        <f t="shared" ref="C50:H50" si="6">IF(C41=ISBLANK(0),0,IF(C96&gt;0,SUM(C43:C49),IF(C96=0,IF(SUM(C43:C49)&lt;100,100,SUM(C43:C49)))))</f>
        <v>0</v>
      </c>
      <c r="D50" s="287">
        <f t="shared" si="6"/>
        <v>0</v>
      </c>
      <c r="E50" s="287">
        <f t="shared" si="6"/>
        <v>0</v>
      </c>
      <c r="F50" s="287">
        <f t="shared" si="6"/>
        <v>0</v>
      </c>
      <c r="G50" s="287">
        <f t="shared" si="6"/>
        <v>0</v>
      </c>
      <c r="H50" s="287">
        <f t="shared" si="6"/>
        <v>0</v>
      </c>
      <c r="I50" s="294"/>
      <c r="J50" s="294"/>
    </row>
    <row r="51" spans="1:10" x14ac:dyDescent="0.2">
      <c r="A51" s="810" t="s">
        <v>322</v>
      </c>
      <c r="B51" s="810"/>
      <c r="C51" s="287">
        <f t="shared" ref="C51:H51" si="7">IF(C41-C50&lt;0,0,C41-C50)</f>
        <v>0</v>
      </c>
      <c r="D51" s="287">
        <f t="shared" si="7"/>
        <v>0</v>
      </c>
      <c r="E51" s="287">
        <f t="shared" si="7"/>
        <v>0</v>
      </c>
      <c r="F51" s="287">
        <f t="shared" si="7"/>
        <v>0</v>
      </c>
      <c r="G51" s="287">
        <f t="shared" si="7"/>
        <v>0</v>
      </c>
      <c r="H51" s="287">
        <f t="shared" si="7"/>
        <v>0</v>
      </c>
      <c r="I51" s="240"/>
      <c r="J51" s="240"/>
    </row>
    <row r="52" spans="1:10" x14ac:dyDescent="0.2">
      <c r="A52" s="866" t="s">
        <v>321</v>
      </c>
      <c r="B52" s="867"/>
      <c r="C52" s="365"/>
      <c r="D52" s="365"/>
      <c r="E52" s="365"/>
      <c r="F52" s="365"/>
      <c r="G52" s="365"/>
      <c r="H52" s="365"/>
      <c r="I52" s="294"/>
      <c r="J52" s="294"/>
    </row>
    <row r="53" spans="1:10" x14ac:dyDescent="0.2">
      <c r="A53" s="868" t="s">
        <v>68</v>
      </c>
      <c r="B53" s="869"/>
      <c r="C53" s="333"/>
      <c r="D53" s="333"/>
      <c r="E53" s="333"/>
      <c r="F53" s="333"/>
      <c r="G53" s="333"/>
      <c r="H53" s="333"/>
      <c r="I53" s="294"/>
      <c r="J53" s="294"/>
    </row>
    <row r="54" spans="1:10" x14ac:dyDescent="0.2">
      <c r="A54" s="239"/>
      <c r="B54" s="239"/>
      <c r="C54" s="93">
        <f t="shared" ref="C54:H54" si="8">IF((C52-C53)&lt;0,0,(C52-C53))</f>
        <v>0</v>
      </c>
      <c r="D54" s="93">
        <f t="shared" si="8"/>
        <v>0</v>
      </c>
      <c r="E54" s="93">
        <f t="shared" si="8"/>
        <v>0</v>
      </c>
      <c r="F54" s="93">
        <f t="shared" si="8"/>
        <v>0</v>
      </c>
      <c r="G54" s="93">
        <f t="shared" si="8"/>
        <v>0</v>
      </c>
      <c r="H54" s="93">
        <f t="shared" si="8"/>
        <v>0</v>
      </c>
      <c r="I54" s="240"/>
      <c r="J54" s="240"/>
    </row>
    <row r="55" spans="1:10" x14ac:dyDescent="0.2">
      <c r="A55" s="239"/>
      <c r="B55" s="239"/>
      <c r="C55" s="93">
        <f t="shared" ref="C55:H55" si="9">IF(C38-C39&lt;0,0,C38-C39)</f>
        <v>0</v>
      </c>
      <c r="D55" s="93">
        <f t="shared" si="9"/>
        <v>0</v>
      </c>
      <c r="E55" s="93">
        <f t="shared" si="9"/>
        <v>0</v>
      </c>
      <c r="F55" s="93">
        <f t="shared" si="9"/>
        <v>0</v>
      </c>
      <c r="G55" s="93">
        <f t="shared" si="9"/>
        <v>0</v>
      </c>
      <c r="H55" s="93">
        <f t="shared" si="9"/>
        <v>0</v>
      </c>
      <c r="I55" s="240"/>
      <c r="J55" s="240"/>
    </row>
    <row r="56" spans="1:10" ht="15" x14ac:dyDescent="0.25">
      <c r="A56" s="902" t="s">
        <v>75</v>
      </c>
      <c r="B56" s="902"/>
      <c r="C56" s="342" t="s">
        <v>323</v>
      </c>
      <c r="D56" s="309"/>
      <c r="E56" s="309"/>
      <c r="F56" s="309"/>
      <c r="G56" s="309"/>
      <c r="H56" s="309"/>
      <c r="I56" s="240"/>
      <c r="J56" s="240"/>
    </row>
    <row r="57" spans="1:10" x14ac:dyDescent="0.2">
      <c r="A57" s="903" t="s">
        <v>56</v>
      </c>
      <c r="B57" s="903"/>
      <c r="C57" s="308"/>
      <c r="D57" s="308"/>
      <c r="E57" s="308"/>
      <c r="F57" s="308"/>
      <c r="G57" s="308"/>
      <c r="H57" s="308"/>
      <c r="I57" s="294"/>
      <c r="J57" s="294"/>
    </row>
    <row r="58" spans="1:10" x14ac:dyDescent="0.2">
      <c r="A58" s="903" t="s">
        <v>57</v>
      </c>
      <c r="B58" s="903"/>
      <c r="C58" s="308"/>
      <c r="D58" s="308"/>
      <c r="E58" s="308"/>
      <c r="F58" s="308"/>
      <c r="G58" s="308"/>
      <c r="H58" s="308"/>
      <c r="I58" s="294"/>
      <c r="J58" s="294"/>
    </row>
    <row r="59" spans="1:10" x14ac:dyDescent="0.2">
      <c r="A59" s="903" t="s">
        <v>58</v>
      </c>
      <c r="B59" s="903"/>
      <c r="C59" s="308"/>
      <c r="D59" s="308"/>
      <c r="E59" s="308"/>
      <c r="F59" s="308"/>
      <c r="G59" s="308"/>
      <c r="H59" s="308"/>
      <c r="I59" s="294"/>
      <c r="J59" s="294"/>
    </row>
    <row r="60" spans="1:10" x14ac:dyDescent="0.2">
      <c r="A60" s="903" t="s">
        <v>76</v>
      </c>
      <c r="B60" s="903"/>
      <c r="C60" s="343">
        <f>IF(C61&lt;18,0,IF(C46=30,0,IF((C75+C76+H78)&gt;0,0,IF(C96=0,30,IF(C96&gt;0,0)))))</f>
        <v>0</v>
      </c>
      <c r="D60" s="343">
        <f>IF(D61&lt;18,0,IF(D46=30,0,IF((D75+D76+H78)&gt;0,0,IF(D96=0,30,IF(D96&gt;0,0)))))</f>
        <v>0</v>
      </c>
      <c r="E60" s="343">
        <f>IF(E61&lt;18,0,IF(E46=30,0,IF((E75+E76+H78)&gt;0,0,IF(E96=0,30,IF(E96&gt;0,0)))))</f>
        <v>0</v>
      </c>
      <c r="F60" s="343">
        <f>IF(F61&lt;18,0,IF(F46=30,0,IF((F75+F76+H78)&gt;0,0,IF(F96=0,30,IF(F96&gt;0,0)))))</f>
        <v>0</v>
      </c>
      <c r="G60" s="343">
        <f>IF(G61&lt;18,0,IF(G46=30,0,IF((G75+G76+H78)&gt;0,0,IF(G96=0,30,IF(G96&gt;0,0)))))</f>
        <v>0</v>
      </c>
      <c r="H60" s="343">
        <f>IF(H61&lt;18,0,IF(H46=30,0,IF((H75+H76+H78)&gt;0,0,IF(H96=0,30,IF(H96&gt;0,0)))))</f>
        <v>0</v>
      </c>
      <c r="I60" s="239"/>
      <c r="J60" s="239"/>
    </row>
    <row r="61" spans="1:10" x14ac:dyDescent="0.2">
      <c r="A61" s="239"/>
      <c r="B61" s="239"/>
      <c r="C61" s="84">
        <f>IF(BG!$C$30=ISBLANK(0),0,IF(INT((C37-BG!$C$30)/365.25)&lt;0,0,INT((C37-BG!$C$30)/365.25)))</f>
        <v>0</v>
      </c>
      <c r="D61" s="84">
        <f>IF(BG!$C$30=ISBLANK(0),0,IF(INT((D37-BG!$C$30)/365.25)&lt;0,0,INT((D37-BG!$C$30)/365.25)))</f>
        <v>0</v>
      </c>
      <c r="E61" s="84">
        <f>IF(BG!$C$30=ISBLANK(0),0,IF(INT((E37-BG!$C$30)/365.25)&lt;0,0,INT((E37-BG!$C$30)/365.25)))</f>
        <v>0</v>
      </c>
      <c r="F61" s="84">
        <f>IF(BG!$C$30=ISBLANK(0),0,IF(INT((F37-BG!$C$30)/365.25)&lt;0,0,INT((F37-BG!$C$30)/365.25)))</f>
        <v>0</v>
      </c>
      <c r="G61" s="84">
        <f>IF(BG!$C$30=ISBLANK(0),0,IF(INT((G37-BG!$C$30)/365.25)&lt;0,0,INT((G37-BG!$C$30)/365.25)))</f>
        <v>0</v>
      </c>
      <c r="H61" s="84">
        <f>IF(BG!$C$30=ISBLANK(0),0,IF(INT((H37-BG!$C$30)/365.25)&lt;0,0,INT((H37-BG!$C$30)/365.25)))</f>
        <v>0</v>
      </c>
      <c r="I61" s="239"/>
      <c r="J61" s="239"/>
    </row>
    <row r="62" spans="1:10" x14ac:dyDescent="0.2">
      <c r="A62" s="241"/>
      <c r="B62" s="344" t="s">
        <v>77</v>
      </c>
      <c r="C62" s="97">
        <f t="shared" ref="C62:H62" si="10">C7+C12+C17+C23+C28+C51+C54+C55</f>
        <v>0</v>
      </c>
      <c r="D62" s="97">
        <f t="shared" si="10"/>
        <v>0</v>
      </c>
      <c r="E62" s="97">
        <f t="shared" si="10"/>
        <v>0</v>
      </c>
      <c r="F62" s="97">
        <f t="shared" si="10"/>
        <v>0</v>
      </c>
      <c r="G62" s="97">
        <f t="shared" si="10"/>
        <v>0</v>
      </c>
      <c r="H62" s="97">
        <f t="shared" si="10"/>
        <v>0</v>
      </c>
      <c r="I62" s="258" t="s">
        <v>48</v>
      </c>
      <c r="J62" s="239"/>
    </row>
    <row r="63" spans="1:10" x14ac:dyDescent="0.2">
      <c r="A63" s="345"/>
      <c r="B63" s="346" t="s">
        <v>78</v>
      </c>
      <c r="C63" s="106">
        <f t="shared" ref="C63:H63" si="11">SUM(C57:C60)</f>
        <v>0</v>
      </c>
      <c r="D63" s="106">
        <f t="shared" si="11"/>
        <v>0</v>
      </c>
      <c r="E63" s="106">
        <f t="shared" si="11"/>
        <v>0</v>
      </c>
      <c r="F63" s="106">
        <f t="shared" si="11"/>
        <v>0</v>
      </c>
      <c r="G63" s="106">
        <f t="shared" si="11"/>
        <v>0</v>
      </c>
      <c r="H63" s="106">
        <f t="shared" si="11"/>
        <v>0</v>
      </c>
      <c r="I63" s="347"/>
      <c r="J63" s="239"/>
    </row>
    <row r="64" spans="1:10" x14ac:dyDescent="0.2">
      <c r="A64" s="281"/>
      <c r="B64" s="348" t="s">
        <v>79</v>
      </c>
      <c r="C64" s="296">
        <f t="shared" ref="C64:H64" si="12">IF((C62-C63)&lt;0,0,(C62-C63))</f>
        <v>0</v>
      </c>
      <c r="D64" s="296">
        <f t="shared" si="12"/>
        <v>0</v>
      </c>
      <c r="E64" s="296">
        <f t="shared" si="12"/>
        <v>0</v>
      </c>
      <c r="F64" s="296">
        <f t="shared" si="12"/>
        <v>0</v>
      </c>
      <c r="G64" s="296">
        <f t="shared" si="12"/>
        <v>0</v>
      </c>
      <c r="H64" s="296">
        <f t="shared" si="12"/>
        <v>0</v>
      </c>
      <c r="I64" s="287">
        <f>SUM(C64:H64)</f>
        <v>0</v>
      </c>
      <c r="J64" s="239"/>
    </row>
    <row r="65" spans="1:10" x14ac:dyDescent="0.2">
      <c r="A65" s="239"/>
      <c r="B65" s="239"/>
      <c r="C65" s="239"/>
      <c r="D65" s="239"/>
      <c r="E65" s="239"/>
      <c r="F65" s="239"/>
      <c r="G65" s="239"/>
      <c r="H65" s="239"/>
      <c r="I65" s="239"/>
      <c r="J65" s="239"/>
    </row>
    <row r="66" spans="1:10" x14ac:dyDescent="0.2">
      <c r="A66" s="239"/>
      <c r="B66" s="239"/>
      <c r="C66" s="239"/>
      <c r="D66" s="239"/>
      <c r="E66" s="239"/>
      <c r="F66" s="239"/>
      <c r="G66" s="239"/>
      <c r="H66" s="239"/>
      <c r="I66" s="239"/>
      <c r="J66" s="239"/>
    </row>
    <row r="67" spans="1:10" x14ac:dyDescent="0.2">
      <c r="A67" s="239"/>
      <c r="B67" s="239"/>
      <c r="C67" s="239"/>
      <c r="D67" s="239"/>
      <c r="E67" s="239"/>
      <c r="F67" s="239"/>
      <c r="G67" s="239"/>
      <c r="H67" s="239"/>
      <c r="I67" s="239"/>
      <c r="J67" s="239"/>
    </row>
    <row r="68" spans="1:10" x14ac:dyDescent="0.2">
      <c r="A68" s="239"/>
      <c r="B68" s="239"/>
      <c r="C68" s="239"/>
      <c r="D68" s="239"/>
      <c r="E68" s="239"/>
      <c r="F68" s="239"/>
      <c r="G68" s="239"/>
      <c r="H68" s="239"/>
      <c r="I68" s="239"/>
      <c r="J68" s="239"/>
    </row>
    <row r="69" spans="1:10" x14ac:dyDescent="0.2">
      <c r="A69" s="239"/>
      <c r="B69" s="239"/>
      <c r="C69" s="239"/>
      <c r="D69" s="239"/>
      <c r="E69" s="239"/>
      <c r="F69" s="239"/>
      <c r="G69" s="239"/>
      <c r="H69" s="239"/>
      <c r="I69" s="239"/>
      <c r="J69" s="239"/>
    </row>
    <row r="70" spans="1:10" x14ac:dyDescent="0.2">
      <c r="A70" s="239"/>
      <c r="B70" s="239"/>
      <c r="C70" s="239"/>
      <c r="D70" s="239"/>
      <c r="E70" s="239"/>
      <c r="F70" s="239"/>
      <c r="G70" s="239"/>
      <c r="H70" s="239"/>
      <c r="I70" s="239"/>
      <c r="J70" s="239"/>
    </row>
    <row r="71" spans="1:10" x14ac:dyDescent="0.2">
      <c r="A71" s="239"/>
      <c r="B71" s="239"/>
      <c r="C71" s="239"/>
      <c r="D71" s="239"/>
      <c r="E71" s="239"/>
      <c r="F71" s="239"/>
      <c r="G71" s="239"/>
      <c r="H71" s="239"/>
      <c r="I71" s="239"/>
      <c r="J71" s="239"/>
    </row>
    <row r="72" spans="1:10" ht="15" x14ac:dyDescent="0.25">
      <c r="A72" s="249"/>
      <c r="B72" s="239"/>
      <c r="C72" s="914" t="s">
        <v>46</v>
      </c>
      <c r="D72" s="914"/>
      <c r="E72" s="914"/>
      <c r="F72" s="914"/>
      <c r="G72" s="914"/>
      <c r="H72" s="914"/>
      <c r="I72" s="239"/>
      <c r="J72" s="239"/>
    </row>
    <row r="73" spans="1:10" ht="15" x14ac:dyDescent="0.25">
      <c r="A73" s="915" t="s">
        <v>29</v>
      </c>
      <c r="B73" s="915"/>
      <c r="C73" s="255" t="e">
        <f>EDATE(BG!D2,-6)</f>
        <v>#NUM!</v>
      </c>
      <c r="D73" s="255" t="e">
        <f>EDATE(BG!D2,-5)</f>
        <v>#NUM!</v>
      </c>
      <c r="E73" s="255" t="e">
        <f>EDATE(BG!D2,-4)</f>
        <v>#NUM!</v>
      </c>
      <c r="F73" s="255" t="e">
        <f>EDATE(BG!D2,-3)</f>
        <v>#NUM!</v>
      </c>
      <c r="G73" s="255" t="e">
        <f>EDATE(BG!D2,-2)</f>
        <v>#NUM!</v>
      </c>
      <c r="H73" s="255" t="e">
        <f>EDATE(BG!D2,-1)</f>
        <v>#NUM!</v>
      </c>
      <c r="I73" s="245"/>
      <c r="J73" s="292"/>
    </row>
    <row r="74" spans="1:10" x14ac:dyDescent="0.2">
      <c r="A74" s="1050" t="s">
        <v>596</v>
      </c>
      <c r="B74" s="1051"/>
      <c r="C74" s="366" t="s">
        <v>185</v>
      </c>
      <c r="D74" s="366" t="s">
        <v>185</v>
      </c>
      <c r="E74" s="366" t="s">
        <v>185</v>
      </c>
      <c r="F74" s="366" t="s">
        <v>185</v>
      </c>
      <c r="G74" s="366" t="s">
        <v>185</v>
      </c>
      <c r="H74" s="366" t="s">
        <v>185</v>
      </c>
      <c r="I74" s="345"/>
      <c r="J74" s="332" t="str">
        <f>IF(SUM(C77:H77)&gt;0,"bitte hier"," ")</f>
        <v xml:space="preserve"> </v>
      </c>
    </row>
    <row r="75" spans="1:10" ht="14.25" customHeight="1" x14ac:dyDescent="0.2">
      <c r="A75" s="916" t="s">
        <v>47</v>
      </c>
      <c r="B75" s="916"/>
      <c r="C75" s="264"/>
      <c r="D75" s="264"/>
      <c r="E75" s="264"/>
      <c r="F75" s="264"/>
      <c r="G75" s="264"/>
      <c r="H75" s="264"/>
      <c r="I75" s="311"/>
      <c r="J75" s="367" t="str">
        <f>IF(SUM(C77:H77)&gt;0,"eintragen"," ")</f>
        <v xml:space="preserve"> </v>
      </c>
    </row>
    <row r="76" spans="1:10" x14ac:dyDescent="0.2">
      <c r="A76" s="917" t="s">
        <v>38</v>
      </c>
      <c r="B76" s="917"/>
      <c r="C76" s="266"/>
      <c r="D76" s="266"/>
      <c r="E76" s="266"/>
      <c r="F76" s="266"/>
      <c r="G76" s="266"/>
      <c r="H76" s="266"/>
      <c r="I76" s="368" t="str">
        <f>IF(SUM(C77:H77)&gt;0,"Beginn d."," ")</f>
        <v xml:space="preserve"> </v>
      </c>
      <c r="J76" s="1052"/>
    </row>
    <row r="77" spans="1:10" ht="14.25" customHeight="1" x14ac:dyDescent="0.2">
      <c r="A77" s="918" t="s">
        <v>242</v>
      </c>
      <c r="B77" s="918"/>
      <c r="C77" s="369"/>
      <c r="D77" s="369"/>
      <c r="E77" s="369"/>
      <c r="F77" s="369"/>
      <c r="G77" s="369"/>
      <c r="H77" s="369"/>
      <c r="I77" s="370" t="str">
        <f>IF(SUM(C77:H77)&gt;0,"Selbständigkeit:"," ")</f>
        <v xml:space="preserve"> </v>
      </c>
      <c r="J77" s="1053"/>
    </row>
    <row r="78" spans="1:10" x14ac:dyDescent="0.2">
      <c r="A78" s="239"/>
      <c r="B78" s="239"/>
      <c r="C78" s="248"/>
      <c r="D78" s="248"/>
      <c r="E78" s="142" t="s">
        <v>48</v>
      </c>
      <c r="F78" s="83">
        <f>SUM(C77:H77)</f>
        <v>0</v>
      </c>
      <c r="G78" s="81" t="s">
        <v>49</v>
      </c>
      <c r="H78" s="83" t="e">
        <f>ROUND((F78/J81),2)</f>
        <v>#NUM!</v>
      </c>
      <c r="I78" s="411" t="str">
        <f>IF(SUM(C77:H77)&gt;0,"Ende d."," ")</f>
        <v xml:space="preserve"> </v>
      </c>
      <c r="J78" s="1048"/>
    </row>
    <row r="79" spans="1:10" x14ac:dyDescent="0.2">
      <c r="A79" s="921" t="s">
        <v>50</v>
      </c>
      <c r="B79" s="922"/>
      <c r="C79" s="297"/>
      <c r="D79" s="297"/>
      <c r="E79" s="297"/>
      <c r="F79" s="297"/>
      <c r="G79" s="297"/>
      <c r="H79" s="297"/>
      <c r="I79" s="370" t="str">
        <f>IF(SUM(C77:H77)&gt;0,"Selbständigkeit:"," ")</f>
        <v xml:space="preserve"> </v>
      </c>
      <c r="J79" s="1049"/>
    </row>
    <row r="80" spans="1:10" x14ac:dyDescent="0.2">
      <c r="A80" s="923" t="s">
        <v>51</v>
      </c>
      <c r="B80" s="924"/>
      <c r="C80" s="298"/>
      <c r="D80" s="298"/>
      <c r="E80" s="298"/>
      <c r="F80" s="298"/>
      <c r="G80" s="298"/>
      <c r="H80" s="298"/>
      <c r="I80" s="1054" t="str">
        <f>IF(SUM(C77:H77)&gt;0,"Format: MM/JJ"," ")</f>
        <v xml:space="preserve"> </v>
      </c>
      <c r="J80" s="1055"/>
    </row>
    <row r="81" spans="1:10" x14ac:dyDescent="0.2">
      <c r="A81" s="925" t="s">
        <v>52</v>
      </c>
      <c r="B81" s="925"/>
      <c r="C81" s="371"/>
      <c r="D81" s="371"/>
      <c r="E81" s="371"/>
      <c r="F81" s="371"/>
      <c r="G81" s="371"/>
      <c r="H81" s="371"/>
      <c r="I81" s="198" t="e">
        <f>IF(J76&lt;MEG!C6,6,DATEDIF(J76,MEG!E6,"m")+1)</f>
        <v>#NUM!</v>
      </c>
      <c r="J81" s="199" t="e">
        <f>IF(J78=ISBLANK(0),I81,IF(J76=ISBLANK(0),I82,DATEDIF(I84,J84,"m")+1))</f>
        <v>#NUM!</v>
      </c>
    </row>
    <row r="82" spans="1:10" x14ac:dyDescent="0.2">
      <c r="A82" s="1056" t="s">
        <v>54</v>
      </c>
      <c r="B82" s="1056"/>
      <c r="C82" s="413"/>
      <c r="D82" s="413"/>
      <c r="E82" s="413"/>
      <c r="F82" s="413"/>
      <c r="G82" s="413"/>
      <c r="H82" s="413"/>
      <c r="I82" s="198" t="e">
        <f>IF(J78&lt;MEG!C6,6,DATEDIF(MEG!C6,J78,"m")+1)</f>
        <v>#NUM!</v>
      </c>
      <c r="J82" s="199"/>
    </row>
    <row r="83" spans="1:10" x14ac:dyDescent="0.2">
      <c r="A83" s="1057"/>
      <c r="B83" s="1057"/>
      <c r="C83" s="126" t="s">
        <v>48</v>
      </c>
      <c r="D83" s="83">
        <f>SUM(C81:H82)</f>
        <v>0</v>
      </c>
      <c r="E83" s="81" t="s">
        <v>49</v>
      </c>
      <c r="F83" s="83" t="e">
        <f>ROUND((D83/J81),2)</f>
        <v>#NUM!</v>
      </c>
      <c r="G83" s="90" t="s">
        <v>53</v>
      </c>
      <c r="H83" s="91" t="e">
        <f>IF((H78-F83)&lt;0,0,(H78-F83))</f>
        <v>#NUM!</v>
      </c>
      <c r="I83" s="81"/>
      <c r="J83" s="81"/>
    </row>
    <row r="84" spans="1:10" x14ac:dyDescent="0.2">
      <c r="A84" s="239"/>
      <c r="B84" s="292"/>
      <c r="C84" s="373"/>
      <c r="D84" s="373"/>
      <c r="E84" s="373"/>
      <c r="F84" s="373"/>
      <c r="G84" s="373"/>
      <c r="H84" s="374"/>
      <c r="I84" s="179" t="e">
        <f>IF(J76&lt;MEG!C6,MEG!C6,J76)</f>
        <v>#NUM!</v>
      </c>
      <c r="J84" s="179" t="e">
        <f>IF(J78&gt;MEG!E6,MEG!E6,J78)</f>
        <v>#NUM!</v>
      </c>
    </row>
    <row r="85" spans="1:10" x14ac:dyDescent="0.2">
      <c r="A85" s="925" t="s">
        <v>54</v>
      </c>
      <c r="B85" s="925"/>
      <c r="C85" s="302">
        <f t="shared" ref="C85:H85" si="13">SUM(C88,(C86*ROUND(C87,0)*0.2))</f>
        <v>0</v>
      </c>
      <c r="D85" s="302">
        <f t="shared" si="13"/>
        <v>0</v>
      </c>
      <c r="E85" s="302">
        <f t="shared" si="13"/>
        <v>0</v>
      </c>
      <c r="F85" s="302">
        <f t="shared" si="13"/>
        <v>0</v>
      </c>
      <c r="G85" s="302">
        <f t="shared" si="13"/>
        <v>0</v>
      </c>
      <c r="H85" s="302">
        <f t="shared" si="13"/>
        <v>0</v>
      </c>
      <c r="I85" s="203" t="e">
        <f>I84</f>
        <v>#NUM!</v>
      </c>
      <c r="J85" s="179" t="e">
        <f>IF(J78=ISBLANK(0),H73+1,J78)</f>
        <v>#NUM!</v>
      </c>
    </row>
    <row r="86" spans="1:10" x14ac:dyDescent="0.2">
      <c r="A86" s="927" t="s">
        <v>234</v>
      </c>
      <c r="B86" s="928"/>
      <c r="C86" s="375"/>
      <c r="D86" s="375"/>
      <c r="E86" s="375"/>
      <c r="F86" s="375"/>
      <c r="G86" s="375"/>
      <c r="H86" s="375"/>
      <c r="I86" s="202" t="e">
        <f>IF(I84&gt;C73,0,IF(J85&lt;C73,0,H83))</f>
        <v>#NUM!</v>
      </c>
      <c r="J86" s="81"/>
    </row>
    <row r="87" spans="1:10" x14ac:dyDescent="0.2">
      <c r="A87" s="927" t="s">
        <v>235</v>
      </c>
      <c r="B87" s="928"/>
      <c r="C87" s="375"/>
      <c r="D87" s="375"/>
      <c r="E87" s="375"/>
      <c r="F87" s="375"/>
      <c r="G87" s="375"/>
      <c r="H87" s="375"/>
      <c r="I87" s="202" t="e">
        <f>IF(I84&gt;D73,0,IF(J85&lt;D73,0,H83))</f>
        <v>#NUM!</v>
      </c>
      <c r="J87" s="81"/>
    </row>
    <row r="88" spans="1:10" x14ac:dyDescent="0.2">
      <c r="A88" s="929" t="s">
        <v>237</v>
      </c>
      <c r="B88" s="930"/>
      <c r="C88" s="372"/>
      <c r="D88" s="372"/>
      <c r="E88" s="372"/>
      <c r="F88" s="372"/>
      <c r="G88" s="372"/>
      <c r="H88" s="372"/>
      <c r="I88" s="202" t="e">
        <f>IF(I84&gt;E73,0,IF(J85&lt;E73,0,H83))</f>
        <v>#NUM!</v>
      </c>
      <c r="J88" s="81"/>
    </row>
    <row r="89" spans="1:10" x14ac:dyDescent="0.2">
      <c r="A89" s="926" t="s">
        <v>55</v>
      </c>
      <c r="B89" s="926"/>
      <c r="C89" s="305">
        <f t="shared" ref="C89:H89" si="14">C90*C91</f>
        <v>0</v>
      </c>
      <c r="D89" s="305">
        <f t="shared" si="14"/>
        <v>0</v>
      </c>
      <c r="E89" s="305">
        <f t="shared" si="14"/>
        <v>0</v>
      </c>
      <c r="F89" s="305">
        <f t="shared" si="14"/>
        <v>0</v>
      </c>
      <c r="G89" s="305">
        <f t="shared" si="14"/>
        <v>0</v>
      </c>
      <c r="H89" s="305">
        <f t="shared" si="14"/>
        <v>0</v>
      </c>
      <c r="I89" s="202" t="e">
        <f>IF(I84&gt;F73,0,IF(J85&lt;F73,0,H83))</f>
        <v>#NUM!</v>
      </c>
      <c r="J89" s="83"/>
    </row>
    <row r="90" spans="1:10" x14ac:dyDescent="0.2">
      <c r="A90" s="898" t="s">
        <v>238</v>
      </c>
      <c r="B90" s="899"/>
      <c r="C90" s="375"/>
      <c r="D90" s="375"/>
      <c r="E90" s="375"/>
      <c r="F90" s="375"/>
      <c r="G90" s="375"/>
      <c r="H90" s="375"/>
      <c r="I90" s="202" t="e">
        <f>IF(I84&gt;G73,0,IF(J85&lt;G73,0,H83))</f>
        <v>#NUM!</v>
      </c>
      <c r="J90" s="81"/>
    </row>
    <row r="91" spans="1:10" x14ac:dyDescent="0.2">
      <c r="A91" s="942" t="s">
        <v>239</v>
      </c>
      <c r="B91" s="943"/>
      <c r="C91" s="376"/>
      <c r="D91" s="376"/>
      <c r="E91" s="376"/>
      <c r="F91" s="376"/>
      <c r="G91" s="376"/>
      <c r="H91" s="376"/>
      <c r="I91" s="202" t="e">
        <f>IF(I84&gt;H73,0,IF(J85&lt;H73,0,H83))</f>
        <v>#NUM!</v>
      </c>
      <c r="J91" s="81"/>
    </row>
    <row r="92" spans="1:10" x14ac:dyDescent="0.2">
      <c r="A92" s="937" t="s">
        <v>236</v>
      </c>
      <c r="B92" s="938"/>
      <c r="C92" s="307"/>
      <c r="D92" s="307"/>
      <c r="E92" s="307"/>
      <c r="F92" s="307"/>
      <c r="G92" s="307"/>
      <c r="H92" s="307"/>
      <c r="I92" s="356"/>
      <c r="J92" s="83"/>
    </row>
    <row r="93" spans="1:10" x14ac:dyDescent="0.2">
      <c r="A93" s="903" t="s">
        <v>56</v>
      </c>
      <c r="B93" s="903"/>
      <c r="C93" s="307"/>
      <c r="D93" s="307"/>
      <c r="E93" s="307"/>
      <c r="F93" s="307"/>
      <c r="G93" s="307"/>
      <c r="H93" s="307"/>
      <c r="I93" s="311"/>
      <c r="J93" s="294"/>
    </row>
    <row r="94" spans="1:10" x14ac:dyDescent="0.2">
      <c r="A94" s="903" t="s">
        <v>57</v>
      </c>
      <c r="B94" s="903"/>
      <c r="C94" s="307"/>
      <c r="D94" s="307"/>
      <c r="E94" s="307"/>
      <c r="F94" s="307"/>
      <c r="G94" s="307"/>
      <c r="H94" s="307"/>
      <c r="I94" s="311"/>
      <c r="J94" s="294"/>
    </row>
    <row r="95" spans="1:10" x14ac:dyDescent="0.2">
      <c r="A95" s="903" t="s">
        <v>58</v>
      </c>
      <c r="B95" s="903"/>
      <c r="C95" s="308"/>
      <c r="D95" s="308"/>
      <c r="E95" s="308"/>
      <c r="F95" s="308"/>
      <c r="G95" s="308"/>
      <c r="H95" s="308"/>
      <c r="I95" s="311"/>
      <c r="J95" s="294"/>
    </row>
    <row r="96" spans="1:10" x14ac:dyDescent="0.2">
      <c r="A96" s="239"/>
      <c r="B96" s="239"/>
      <c r="C96" s="93" t="e">
        <f>C75+I86</f>
        <v>#NUM!</v>
      </c>
      <c r="D96" s="93" t="e">
        <f>D75+I87</f>
        <v>#NUM!</v>
      </c>
      <c r="E96" s="93" t="e">
        <f>E75+I88</f>
        <v>#NUM!</v>
      </c>
      <c r="F96" s="93" t="e">
        <f>F75+I89</f>
        <v>#NUM!</v>
      </c>
      <c r="G96" s="93" t="e">
        <f>G75+I90</f>
        <v>#NUM!</v>
      </c>
      <c r="H96" s="93" t="e">
        <f>H75+I91</f>
        <v>#NUM!</v>
      </c>
      <c r="I96" s="239"/>
      <c r="J96" s="239"/>
    </row>
    <row r="97" spans="1:10" x14ac:dyDescent="0.2">
      <c r="A97" s="903" t="s">
        <v>59</v>
      </c>
      <c r="B97" s="903"/>
      <c r="C97" s="287" t="e">
        <f>IF(C74="ja",Grundfreibeträge!G67,Grundfreibeträge!F67)</f>
        <v>#NUM!</v>
      </c>
      <c r="D97" s="287" t="e">
        <f>IF(D74="ja",Grundfreibeträge!G68,Grundfreibeträge!F68)</f>
        <v>#NUM!</v>
      </c>
      <c r="E97" s="287" t="e">
        <f>IF(E74="ja",Grundfreibeträge!G69,Grundfreibeträge!F69)</f>
        <v>#NUM!</v>
      </c>
      <c r="F97" s="287" t="e">
        <f>IF(F74="ja",Grundfreibeträge!G70,Grundfreibeträge!F70)</f>
        <v>#NUM!</v>
      </c>
      <c r="G97" s="287" t="e">
        <f>IF(G74="ja",Grundfreibeträge!G71,Grundfreibeträge!F71)</f>
        <v>#NUM!</v>
      </c>
      <c r="H97" s="287" t="e">
        <f>IF(H74="ja",Grundfreibeträge!G72,Grundfreibeträge!F72)</f>
        <v>#NUM!</v>
      </c>
      <c r="I97" s="239"/>
      <c r="J97" s="239"/>
    </row>
    <row r="98" spans="1:10" x14ac:dyDescent="0.2">
      <c r="A98" s="937" t="s">
        <v>597</v>
      </c>
      <c r="B98" s="938"/>
      <c r="C98" s="287" t="e">
        <f>MAX((MIN(C96,520)-C97)*0.2,0)</f>
        <v>#NUM!</v>
      </c>
      <c r="D98" s="287" t="e">
        <f t="shared" ref="D98:H98" si="15">MAX((MIN(D96,520)-D97)*0.2,0)</f>
        <v>#NUM!</v>
      </c>
      <c r="E98" s="287" t="e">
        <f t="shared" si="15"/>
        <v>#NUM!</v>
      </c>
      <c r="F98" s="287" t="e">
        <f t="shared" si="15"/>
        <v>#NUM!</v>
      </c>
      <c r="G98" s="287" t="e">
        <f t="shared" si="15"/>
        <v>#NUM!</v>
      </c>
      <c r="H98" s="287" t="e">
        <f t="shared" si="15"/>
        <v>#NUM!</v>
      </c>
      <c r="I98" s="778"/>
      <c r="J98" s="778"/>
    </row>
    <row r="99" spans="1:10" x14ac:dyDescent="0.2">
      <c r="A99" s="903" t="s">
        <v>60</v>
      </c>
      <c r="B99" s="903"/>
      <c r="C99" s="287" t="e">
        <f>MAX(MIN(C96-520,480)*0.3,0)</f>
        <v>#NUM!</v>
      </c>
      <c r="D99" s="287" t="e">
        <f t="shared" ref="D99:H99" si="16">MAX(MIN(D96-520,480)*0.3,0)</f>
        <v>#NUM!</v>
      </c>
      <c r="E99" s="287" t="e">
        <f t="shared" si="16"/>
        <v>#NUM!</v>
      </c>
      <c r="F99" s="287" t="e">
        <f t="shared" si="16"/>
        <v>#NUM!</v>
      </c>
      <c r="G99" s="287" t="e">
        <f t="shared" si="16"/>
        <v>#NUM!</v>
      </c>
      <c r="H99" s="287" t="e">
        <f t="shared" si="16"/>
        <v>#NUM!</v>
      </c>
      <c r="I99" s="239"/>
      <c r="J99" s="239"/>
    </row>
    <row r="100" spans="1:10" x14ac:dyDescent="0.2">
      <c r="A100" s="903" t="s">
        <v>61</v>
      </c>
      <c r="B100" s="903"/>
      <c r="C100" s="287" t="e">
        <f>IF(Grundfreibeträge!Q6="Kind ü18",Grundfreibeträge!H67,IF(C96&lt;1000,0,IF(C96&gt;=1500,50,ROUND((C96-1000)*10%,2))))</f>
        <v>#NUM!</v>
      </c>
      <c r="D100" s="287" t="e">
        <f>IF(Grundfreibeträge!Q6="Kind ü18",Grundfreibeträge!H68,IF(D96&lt;1000,0,IF(D96&gt;=1500,50,ROUND((D96-1000)*10%,2))))</f>
        <v>#NUM!</v>
      </c>
      <c r="E100" s="287" t="e">
        <f>IF(Grundfreibeträge!Q6="Kind ü18",Grundfreibeträge!H69,IF(E96&lt;1000,0,IF(E96&gt;=1500,50,ROUND((E96-1000)*10%,2))))</f>
        <v>#NUM!</v>
      </c>
      <c r="F100" s="287" t="e">
        <f>IF(Grundfreibeträge!Q6="Kind ü18",Grundfreibeträge!H70,IF(F96&lt;1000,0,IF(F96&gt;=1500,50,ROUND((F96-1000)*10%,2))))</f>
        <v>#NUM!</v>
      </c>
      <c r="G100" s="287" t="e">
        <f>IF(Grundfreibeträge!Q6="Kind ü18",Grundfreibeträge!H71,IF(G96&lt;1000,0,IF(G96&gt;=1500,50,ROUND((G96-1000)*10%,2))))</f>
        <v>#NUM!</v>
      </c>
      <c r="H100" s="287" t="e">
        <f>IF(Grundfreibeträge!Q6="Kind ü18",Grundfreibeträge!H72,IF(H96&lt;1000,0,IF(H96&gt;=1500,50,ROUND((H96-1000)*10%,2))))</f>
        <v>#NUM!</v>
      </c>
      <c r="I100" s="288" t="s">
        <v>48</v>
      </c>
      <c r="J100" s="239"/>
    </row>
    <row r="101" spans="1:10" x14ac:dyDescent="0.2">
      <c r="A101" s="903" t="s">
        <v>62</v>
      </c>
      <c r="B101" s="903"/>
      <c r="C101" s="287" t="e">
        <f>IF(C96=0,0,MAX(C96-C79-C97-C98-C99-C100,0))</f>
        <v>#NUM!</v>
      </c>
      <c r="D101" s="287" t="e">
        <f t="shared" ref="D101:H101" si="17">IF(D96=0,0,MAX(D96-D79-D97-D98-D99-D100,0))</f>
        <v>#NUM!</v>
      </c>
      <c r="E101" s="287" t="e">
        <f t="shared" si="17"/>
        <v>#NUM!</v>
      </c>
      <c r="F101" s="287" t="e">
        <f t="shared" si="17"/>
        <v>#NUM!</v>
      </c>
      <c r="G101" s="287" t="e">
        <f t="shared" si="17"/>
        <v>#NUM!</v>
      </c>
      <c r="H101" s="287" t="e">
        <f t="shared" si="17"/>
        <v>#NUM!</v>
      </c>
      <c r="I101" s="287" t="e">
        <f>SUM(C101:H101)</f>
        <v>#NUM!</v>
      </c>
      <c r="J101" s="239"/>
    </row>
    <row r="102" spans="1:10" x14ac:dyDescent="0.2">
      <c r="A102" s="239"/>
      <c r="B102" s="312"/>
      <c r="C102" s="83" t="e">
        <f>C75+C76+I86</f>
        <v>#NUM!</v>
      </c>
      <c r="D102" s="83" t="e">
        <f>D75+D76+I87</f>
        <v>#NUM!</v>
      </c>
      <c r="E102" s="83" t="e">
        <f>E75+E76+I88</f>
        <v>#NUM!</v>
      </c>
      <c r="F102" s="83" t="e">
        <f>F75+F76+I89</f>
        <v>#NUM!</v>
      </c>
      <c r="G102" s="83" t="e">
        <f>G75+G76+I90</f>
        <v>#NUM!</v>
      </c>
      <c r="H102" s="83" t="e">
        <f>H75+H76+I91</f>
        <v>#NUM!</v>
      </c>
      <c r="I102" s="294"/>
      <c r="J102" s="239"/>
    </row>
    <row r="103" spans="1:10" ht="15" x14ac:dyDescent="0.25">
      <c r="A103" s="239"/>
      <c r="B103" s="239"/>
      <c r="C103" s="83" t="e">
        <f t="shared" ref="C103:H103" si="18">IF(C102=0,0,IF(C102&lt;=100,0,IF(C102&lt;=1000,(C102-100)*20%,IF(C102&gt;1000,180))))</f>
        <v>#NUM!</v>
      </c>
      <c r="D103" s="83" t="e">
        <f t="shared" si="18"/>
        <v>#NUM!</v>
      </c>
      <c r="E103" s="83" t="e">
        <f t="shared" si="18"/>
        <v>#NUM!</v>
      </c>
      <c r="F103" s="83" t="e">
        <f t="shared" si="18"/>
        <v>#NUM!</v>
      </c>
      <c r="G103" s="83" t="e">
        <f t="shared" si="18"/>
        <v>#NUM!</v>
      </c>
      <c r="H103" s="83" t="e">
        <f t="shared" si="18"/>
        <v>#NUM!</v>
      </c>
      <c r="I103" s="313"/>
      <c r="J103" s="239"/>
    </row>
    <row r="104" spans="1:10" ht="15" x14ac:dyDescent="0.25">
      <c r="A104" s="909" t="s">
        <v>63</v>
      </c>
      <c r="B104" s="909"/>
      <c r="C104" s="97" t="e">
        <f t="shared" ref="C104:H104" si="19">IF(C102&lt;1000,0,IF(C102&gt;=1500,50,ROUND((C102-1000)*10%,2)))</f>
        <v>#NUM!</v>
      </c>
      <c r="D104" s="97" t="e">
        <f t="shared" si="19"/>
        <v>#NUM!</v>
      </c>
      <c r="E104" s="97" t="e">
        <f t="shared" si="19"/>
        <v>#NUM!</v>
      </c>
      <c r="F104" s="97" t="e">
        <f t="shared" si="19"/>
        <v>#NUM!</v>
      </c>
      <c r="G104" s="97" t="e">
        <f t="shared" si="19"/>
        <v>#NUM!</v>
      </c>
      <c r="H104" s="97" t="e">
        <f t="shared" si="19"/>
        <v>#NUM!</v>
      </c>
      <c r="I104" s="313"/>
      <c r="J104" s="239"/>
    </row>
    <row r="105" spans="1:10" x14ac:dyDescent="0.2">
      <c r="A105" s="908" t="s">
        <v>64</v>
      </c>
      <c r="B105" s="908"/>
      <c r="C105" s="296">
        <f t="shared" ref="C105:H105" si="20">IF(C76=0,0,(C103+C104)-(C99+C100))</f>
        <v>0</v>
      </c>
      <c r="D105" s="296">
        <f t="shared" si="20"/>
        <v>0</v>
      </c>
      <c r="E105" s="296">
        <f t="shared" si="20"/>
        <v>0</v>
      </c>
      <c r="F105" s="296">
        <f t="shared" si="20"/>
        <v>0</v>
      </c>
      <c r="G105" s="296">
        <f t="shared" si="20"/>
        <v>0</v>
      </c>
      <c r="H105" s="296">
        <f t="shared" si="20"/>
        <v>0</v>
      </c>
      <c r="I105" s="314" t="s">
        <v>48</v>
      </c>
      <c r="J105" s="239"/>
    </row>
    <row r="106" spans="1:10" x14ac:dyDescent="0.2">
      <c r="A106" s="810" t="s">
        <v>65</v>
      </c>
      <c r="B106" s="810"/>
      <c r="C106" s="287">
        <f t="shared" ref="C106:H106" si="21">IF(C76=0,0,IF(AND(C76&gt;0,C96&gt;0),C76-C80-C105,IF(C76-C80-C105-C97&lt;0,0,C76-C80-C105-C97)))</f>
        <v>0</v>
      </c>
      <c r="D106" s="287">
        <f t="shared" si="21"/>
        <v>0</v>
      </c>
      <c r="E106" s="287">
        <f t="shared" si="21"/>
        <v>0</v>
      </c>
      <c r="F106" s="287">
        <f t="shared" si="21"/>
        <v>0</v>
      </c>
      <c r="G106" s="287">
        <f t="shared" si="21"/>
        <v>0</v>
      </c>
      <c r="H106" s="287">
        <f t="shared" si="21"/>
        <v>0</v>
      </c>
      <c r="I106" s="287">
        <f>SUM(C106:H106)</f>
        <v>0</v>
      </c>
      <c r="J106" s="239"/>
    </row>
    <row r="107" spans="1:10" x14ac:dyDescent="0.2">
      <c r="A107" s="239"/>
      <c r="B107" s="239"/>
      <c r="C107" s="239"/>
      <c r="D107" s="239"/>
      <c r="E107" s="239"/>
      <c r="F107" s="239"/>
      <c r="G107" s="239"/>
      <c r="H107" s="239"/>
      <c r="I107" s="239"/>
      <c r="J107" s="239"/>
    </row>
    <row r="108" spans="1:10" x14ac:dyDescent="0.2">
      <c r="A108" s="239"/>
      <c r="B108" s="239"/>
      <c r="C108" s="239"/>
      <c r="D108" s="239"/>
      <c r="E108" s="239"/>
      <c r="F108" s="239"/>
      <c r="G108" s="239"/>
      <c r="H108" s="239"/>
      <c r="I108" s="239"/>
      <c r="J108" s="239"/>
    </row>
    <row r="109" spans="1:10" x14ac:dyDescent="0.2">
      <c r="A109" s="239"/>
      <c r="B109" s="239"/>
      <c r="C109" s="239"/>
      <c r="D109" s="239"/>
      <c r="E109" s="239"/>
      <c r="F109" s="239"/>
      <c r="G109" s="239"/>
      <c r="H109" s="239"/>
      <c r="I109" s="239"/>
      <c r="J109" s="239"/>
    </row>
    <row r="110" spans="1:10" ht="15" x14ac:dyDescent="0.25">
      <c r="A110" s="239"/>
      <c r="B110" s="944" t="s">
        <v>80</v>
      </c>
      <c r="C110" s="945"/>
      <c r="D110" s="946"/>
      <c r="E110" s="350" t="s">
        <v>48</v>
      </c>
      <c r="F110" s="377" t="s">
        <v>49</v>
      </c>
      <c r="G110" s="239"/>
      <c r="H110" s="239"/>
      <c r="I110" s="239"/>
      <c r="J110" s="239"/>
    </row>
    <row r="111" spans="1:10" x14ac:dyDescent="0.2">
      <c r="A111" s="239"/>
      <c r="B111" s="947" t="s">
        <v>81</v>
      </c>
      <c r="C111" s="948"/>
      <c r="D111" s="949"/>
      <c r="E111" s="352" t="e">
        <f>I101+I106</f>
        <v>#NUM!</v>
      </c>
      <c r="F111" s="352" t="e">
        <f>E111/6</f>
        <v>#NUM!</v>
      </c>
      <c r="G111" s="239"/>
      <c r="H111" s="239"/>
      <c r="I111" s="239"/>
      <c r="J111" s="239"/>
    </row>
    <row r="112" spans="1:10" x14ac:dyDescent="0.2">
      <c r="A112" s="239"/>
      <c r="B112" s="947" t="s">
        <v>82</v>
      </c>
      <c r="C112" s="948"/>
      <c r="D112" s="949"/>
      <c r="E112" s="352">
        <f>I64</f>
        <v>0</v>
      </c>
      <c r="F112" s="352">
        <f>E112/6</f>
        <v>0</v>
      </c>
      <c r="G112" s="239"/>
      <c r="H112" s="239"/>
      <c r="I112" s="239"/>
      <c r="J112" s="239"/>
    </row>
    <row r="113" spans="1:10" ht="15" x14ac:dyDescent="0.25">
      <c r="A113" s="239"/>
      <c r="B113" s="239"/>
      <c r="C113" s="239"/>
      <c r="D113" s="239"/>
      <c r="E113" s="378" t="s">
        <v>84</v>
      </c>
      <c r="F113" s="353" t="e">
        <f>F111+F112</f>
        <v>#NUM!</v>
      </c>
      <c r="G113" s="239"/>
      <c r="H113" s="239"/>
      <c r="I113" s="239"/>
      <c r="J113" s="239"/>
    </row>
    <row r="114" spans="1:10" x14ac:dyDescent="0.2">
      <c r="A114" s="239"/>
      <c r="B114" s="239"/>
      <c r="C114" s="239"/>
      <c r="D114" s="239"/>
      <c r="E114" s="239"/>
      <c r="F114" s="239"/>
      <c r="G114" s="239"/>
      <c r="H114" s="239"/>
      <c r="I114" s="239"/>
      <c r="J114" s="239"/>
    </row>
    <row r="115" spans="1:10" x14ac:dyDescent="0.2">
      <c r="A115" s="239"/>
      <c r="B115" s="239"/>
      <c r="C115" s="239"/>
      <c r="D115" s="239"/>
      <c r="E115" s="239"/>
      <c r="F115" s="239"/>
      <c r="G115" s="239"/>
      <c r="H115" s="239"/>
      <c r="I115" s="239"/>
      <c r="J115" s="239"/>
    </row>
    <row r="116" spans="1:10" x14ac:dyDescent="0.2">
      <c r="A116" s="239"/>
      <c r="B116" s="239"/>
      <c r="C116" s="239"/>
      <c r="D116" s="239"/>
      <c r="E116" s="239"/>
      <c r="F116" s="239"/>
      <c r="G116" s="239"/>
      <c r="H116" s="239"/>
      <c r="I116" s="239"/>
      <c r="J116" s="239"/>
    </row>
    <row r="117" spans="1:10" x14ac:dyDescent="0.2">
      <c r="A117" s="239"/>
      <c r="B117" s="239"/>
      <c r="C117" s="239"/>
      <c r="D117" s="239"/>
      <c r="E117" s="239"/>
      <c r="F117" s="239"/>
      <c r="G117" s="239"/>
      <c r="H117" s="239"/>
      <c r="I117" s="239"/>
      <c r="J117" s="239"/>
    </row>
    <row r="118" spans="1:10" x14ac:dyDescent="0.2">
      <c r="A118" s="239"/>
      <c r="B118" s="239"/>
      <c r="C118" s="239"/>
      <c r="D118" s="239"/>
      <c r="E118" s="239"/>
      <c r="F118" s="239"/>
      <c r="G118" s="239"/>
      <c r="H118" s="239"/>
      <c r="I118" s="239"/>
      <c r="J118" s="239"/>
    </row>
    <row r="119" spans="1:10" x14ac:dyDescent="0.2">
      <c r="A119" s="239"/>
      <c r="B119" s="239"/>
      <c r="C119" s="239"/>
      <c r="D119" s="239"/>
      <c r="E119" s="239"/>
      <c r="F119" s="1058" t="s">
        <v>85</v>
      </c>
      <c r="G119" s="1058"/>
      <c r="H119" s="379"/>
      <c r="I119" s="239"/>
      <c r="J119" s="239"/>
    </row>
    <row r="120" spans="1:10" x14ac:dyDescent="0.2">
      <c r="A120" s="239"/>
      <c r="B120" s="239"/>
      <c r="C120" s="239"/>
      <c r="D120" s="239"/>
      <c r="E120" s="239"/>
      <c r="F120" s="1059" t="s">
        <v>86</v>
      </c>
      <c r="G120" s="1059"/>
      <c r="H120" s="380"/>
      <c r="I120" s="239"/>
      <c r="J120" s="239"/>
    </row>
    <row r="121" spans="1:10" ht="15" x14ac:dyDescent="0.25">
      <c r="A121" s="239"/>
      <c r="B121" s="239"/>
      <c r="C121" s="239"/>
      <c r="D121" s="239"/>
      <c r="E121" s="239"/>
      <c r="F121" s="1060" t="s">
        <v>87</v>
      </c>
      <c r="G121" s="1060"/>
      <c r="H121" s="381" t="e">
        <f>IF(Kurzantrag!C21&gt;0,Kurzantrag!C21,ROUND(F113*45%,2))</f>
        <v>#NUM!</v>
      </c>
      <c r="I121" s="239"/>
      <c r="J121" s="239"/>
    </row>
    <row r="122" spans="1:10" x14ac:dyDescent="0.2">
      <c r="A122" s="239"/>
      <c r="B122" s="239"/>
      <c r="C122" s="239"/>
      <c r="D122" s="239"/>
      <c r="E122" s="239"/>
      <c r="F122" s="239"/>
      <c r="G122" s="239"/>
      <c r="H122" s="239"/>
      <c r="I122" s="239"/>
      <c r="J122" s="239"/>
    </row>
    <row r="123" spans="1:10" x14ac:dyDescent="0.2">
      <c r="A123" s="322"/>
      <c r="B123" s="322"/>
      <c r="C123" s="322"/>
      <c r="D123" s="322"/>
      <c r="E123" s="322"/>
      <c r="F123" s="322"/>
      <c r="G123" s="322"/>
      <c r="H123" s="322"/>
      <c r="I123" s="322"/>
      <c r="J123" s="322"/>
    </row>
    <row r="124" spans="1:10" x14ac:dyDescent="0.2">
      <c r="A124" s="239"/>
      <c r="B124" s="239"/>
      <c r="C124" s="239"/>
      <c r="D124" s="239"/>
      <c r="E124" s="239"/>
      <c r="F124" s="239"/>
      <c r="G124" s="239"/>
      <c r="H124" s="239"/>
      <c r="I124" s="239"/>
      <c r="J124" s="239"/>
    </row>
    <row r="125" spans="1:10" x14ac:dyDescent="0.2">
      <c r="A125" s="2"/>
      <c r="B125" s="2"/>
      <c r="C125" s="2"/>
      <c r="D125" s="2"/>
      <c r="E125" s="2"/>
      <c r="F125" s="2"/>
      <c r="G125" s="2"/>
      <c r="H125" s="2"/>
      <c r="I125" s="2"/>
      <c r="J125" s="2"/>
    </row>
    <row r="126" spans="1:10" x14ac:dyDescent="0.2">
      <c r="A126" s="2"/>
      <c r="B126" s="2"/>
      <c r="C126" s="2"/>
      <c r="D126" s="2"/>
      <c r="E126" s="2"/>
      <c r="F126" s="2"/>
      <c r="G126" s="2"/>
      <c r="H126" s="2"/>
      <c r="I126" s="2"/>
      <c r="J126" s="2"/>
    </row>
    <row r="127" spans="1:10" x14ac:dyDescent="0.2">
      <c r="A127" s="2"/>
      <c r="B127" s="2"/>
      <c r="C127" s="2"/>
      <c r="D127" s="2"/>
      <c r="E127" s="2"/>
      <c r="F127" s="2"/>
      <c r="G127" s="2"/>
      <c r="H127" s="2"/>
      <c r="I127" s="2"/>
      <c r="J127" s="2"/>
    </row>
    <row r="128" spans="1:10" x14ac:dyDescent="0.2">
      <c r="A128" s="2"/>
      <c r="B128" s="2"/>
      <c r="C128" s="2"/>
      <c r="D128" s="2"/>
      <c r="E128" s="2"/>
      <c r="F128" s="2"/>
      <c r="G128" s="2"/>
      <c r="H128" s="2"/>
      <c r="I128" s="2"/>
      <c r="J128" s="2"/>
    </row>
    <row r="129" spans="1:10" x14ac:dyDescent="0.2">
      <c r="A129" s="2"/>
      <c r="B129" s="2"/>
      <c r="C129" s="2"/>
      <c r="D129" s="2"/>
      <c r="E129" s="2"/>
      <c r="F129" s="2"/>
      <c r="G129" s="2"/>
      <c r="H129" s="2"/>
      <c r="I129" s="2"/>
      <c r="J129" s="2"/>
    </row>
    <row r="130" spans="1:10" x14ac:dyDescent="0.2">
      <c r="A130" s="2"/>
      <c r="B130" s="2"/>
      <c r="C130" s="2"/>
      <c r="D130" s="2"/>
      <c r="E130" s="2"/>
      <c r="F130" s="2"/>
      <c r="G130" s="2"/>
      <c r="H130" s="2"/>
      <c r="I130" s="2"/>
      <c r="J130" s="2"/>
    </row>
    <row r="131" spans="1:10" x14ac:dyDescent="0.2">
      <c r="A131" s="2"/>
      <c r="B131" s="2"/>
      <c r="C131" s="2"/>
      <c r="D131" s="2"/>
      <c r="E131" s="2"/>
      <c r="F131" s="2"/>
      <c r="G131" s="2"/>
      <c r="H131" s="2"/>
      <c r="I131" s="2"/>
      <c r="J131" s="2"/>
    </row>
    <row r="132" spans="1:10" x14ac:dyDescent="0.2">
      <c r="A132" s="2"/>
      <c r="B132" s="2"/>
      <c r="C132" s="2"/>
      <c r="D132" s="2"/>
      <c r="E132" s="2"/>
      <c r="F132" s="2"/>
      <c r="G132" s="2"/>
      <c r="H132" s="2"/>
      <c r="I132" s="2"/>
      <c r="J132" s="2"/>
    </row>
    <row r="133" spans="1:10" x14ac:dyDescent="0.2">
      <c r="A133" s="2"/>
      <c r="B133" s="2"/>
      <c r="C133" s="2"/>
      <c r="D133" s="2"/>
      <c r="E133" s="2"/>
      <c r="F133" s="2"/>
      <c r="G133" s="2"/>
      <c r="H133" s="2"/>
      <c r="I133" s="2"/>
      <c r="J133" s="2"/>
    </row>
  </sheetData>
  <mergeCells count="85">
    <mergeCell ref="J76:J77"/>
    <mergeCell ref="J78:J79"/>
    <mergeCell ref="I80:J80"/>
    <mergeCell ref="F119:G119"/>
    <mergeCell ref="F120:G120"/>
    <mergeCell ref="F121:G121"/>
    <mergeCell ref="A104:B104"/>
    <mergeCell ref="A105:B105"/>
    <mergeCell ref="A106:B106"/>
    <mergeCell ref="B110:D110"/>
    <mergeCell ref="B111:D111"/>
    <mergeCell ref="B112:D112"/>
    <mergeCell ref="A101:B101"/>
    <mergeCell ref="A88:B88"/>
    <mergeCell ref="A89:B89"/>
    <mergeCell ref="A90:B90"/>
    <mergeCell ref="A91:B91"/>
    <mergeCell ref="A92:B92"/>
    <mergeCell ref="A93:B93"/>
    <mergeCell ref="A94:B94"/>
    <mergeCell ref="A95:B95"/>
    <mergeCell ref="A97:B97"/>
    <mergeCell ref="A99:B99"/>
    <mergeCell ref="A100:B100"/>
    <mergeCell ref="A98:B98"/>
    <mergeCell ref="A87:B87"/>
    <mergeCell ref="A74:B74"/>
    <mergeCell ref="A75:B75"/>
    <mergeCell ref="A76:B76"/>
    <mergeCell ref="A77:B77"/>
    <mergeCell ref="A79:B79"/>
    <mergeCell ref="A80:B80"/>
    <mergeCell ref="A81:B81"/>
    <mergeCell ref="A82:B82"/>
    <mergeCell ref="A83:B83"/>
    <mergeCell ref="A85:B85"/>
    <mergeCell ref="A86:B86"/>
    <mergeCell ref="A73:B73"/>
    <mergeCell ref="A49:B49"/>
    <mergeCell ref="A50:B50"/>
    <mergeCell ref="A51:B51"/>
    <mergeCell ref="A52:B52"/>
    <mergeCell ref="A53:B53"/>
    <mergeCell ref="A56:B56"/>
    <mergeCell ref="A57:B57"/>
    <mergeCell ref="A58:B58"/>
    <mergeCell ref="A59:B59"/>
    <mergeCell ref="A60:B60"/>
    <mergeCell ref="C72:H72"/>
    <mergeCell ref="A48:B48"/>
    <mergeCell ref="B32:C32"/>
    <mergeCell ref="A37:B37"/>
    <mergeCell ref="A38:B38"/>
    <mergeCell ref="A39:B39"/>
    <mergeCell ref="A41:B41"/>
    <mergeCell ref="A42:B42"/>
    <mergeCell ref="A43:B43"/>
    <mergeCell ref="A44:B44"/>
    <mergeCell ref="A45:B45"/>
    <mergeCell ref="A46:B46"/>
    <mergeCell ref="A47:B47"/>
    <mergeCell ref="B31:C31"/>
    <mergeCell ref="A16:B16"/>
    <mergeCell ref="A18:B18"/>
    <mergeCell ref="A20:B20"/>
    <mergeCell ref="A21:B21"/>
    <mergeCell ref="A22:B22"/>
    <mergeCell ref="A24:B24"/>
    <mergeCell ref="A25:B25"/>
    <mergeCell ref="A26:B26"/>
    <mergeCell ref="A27:B27"/>
    <mergeCell ref="A29:B29"/>
    <mergeCell ref="B30:C30"/>
    <mergeCell ref="A15:B15"/>
    <mergeCell ref="C1:H1"/>
    <mergeCell ref="A3:B3"/>
    <mergeCell ref="A4:B4"/>
    <mergeCell ref="A5:B5"/>
    <mergeCell ref="A6:B6"/>
    <mergeCell ref="A8:B8"/>
    <mergeCell ref="A9:B9"/>
    <mergeCell ref="A10:B10"/>
    <mergeCell ref="A11:B11"/>
    <mergeCell ref="A13:B13"/>
    <mergeCell ref="A14:B14"/>
  </mergeCells>
  <dataValidations count="3">
    <dataValidation type="list" allowBlank="1" showInputMessage="1" showErrorMessage="1" sqref="C74:H74" xr:uid="{00000000-0002-0000-0F00-000000000000}">
      <formula1>".,ja,nein"</formula1>
    </dataValidation>
    <dataValidation type="decimal" allowBlank="1" showInputMessage="1" showErrorMessage="1" error="Der eingegebene Wert ist unzulässig. Bitte geben Sie eine Zahl ein, die größer 0 ist." sqref="C3:H6 C8:H11 C13:H16 C18:H22 C24:H27 C38:H39 C41:H41 C43:H45 C47:H49 C52:H53 C57:H59 C75:H77 C79:H82 C86:H88 C90:H95" xr:uid="{00000000-0002-0000-0F00-000001000000}">
      <formula1>0</formula1>
      <formula2>1000000</formula2>
    </dataValidation>
    <dataValidation allowBlank="1" showInputMessage="1" showErrorMessage="1" prompt="Bitte geben Sie das Datum im Format MM/JJ ein (z.B. 03/19)." sqref="J76:J79" xr:uid="{00000000-0002-0000-0F00-000002000000}"/>
  </dataValidations>
  <pageMargins left="0.7" right="0.7" top="0.78740157499999996" bottom="0.78740157499999996" header="0.3" footer="0.3"/>
  <pageSetup paperSize="9" orientation="landscape" r:id="rId1"/>
  <headerFooter>
    <oddHeader>&amp;L&amp;"Arial,Fett"&amp;U4. Ermittlung des anzurechgnenden Einkommens des Kindes / der Kinder:
4.10. Einkommensermittlung Kind 10:&amp;"Arial,Standard"&amp;U
&amp;R&amp;D</oddHeader>
    <oddFooter>&amp;R&amp;P</oddFooter>
  </headerFooter>
  <rowBreaks count="1" manualBreakCount="1">
    <brk id="102" max="16383"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2"/>
  <dimension ref="A1:J137"/>
  <sheetViews>
    <sheetView showGridLines="0" zoomScaleNormal="100" workbookViewId="0">
      <selection activeCell="C18" sqref="C18"/>
    </sheetView>
  </sheetViews>
  <sheetFormatPr baseColWidth="10" defaultRowHeight="14.25" x14ac:dyDescent="0.2"/>
  <cols>
    <col min="1" max="16384" width="11" style="1"/>
  </cols>
  <sheetData>
    <row r="1" spans="1:10" ht="15" x14ac:dyDescent="0.25">
      <c r="A1" s="313"/>
      <c r="B1" s="240"/>
      <c r="C1" s="914" t="s">
        <v>251</v>
      </c>
      <c r="D1" s="914"/>
      <c r="E1" s="914"/>
      <c r="F1" s="914"/>
      <c r="G1" s="914"/>
      <c r="H1" s="914"/>
      <c r="I1" s="239"/>
      <c r="J1" s="239"/>
    </row>
    <row r="2" spans="1:10" ht="15" x14ac:dyDescent="0.25">
      <c r="A2" s="407" t="s">
        <v>29</v>
      </c>
      <c r="B2" s="408"/>
      <c r="C2" s="255" t="e">
        <f>EDATE(BG!D2,-6)</f>
        <v>#NUM!</v>
      </c>
      <c r="D2" s="255" t="e">
        <f>EDATE(BG!D2,-5)</f>
        <v>#NUM!</v>
      </c>
      <c r="E2" s="255" t="e">
        <f>EDATE(BG!D2,-4)</f>
        <v>#NUM!</v>
      </c>
      <c r="F2" s="255" t="e">
        <f>EDATE(BG!D2,-3)</f>
        <v>#NUM!</v>
      </c>
      <c r="G2" s="255" t="e">
        <f>EDATE(BG!D2,-2)</f>
        <v>#NUM!</v>
      </c>
      <c r="H2" s="255" t="e">
        <f>EDATE(BG!D2,-1)</f>
        <v>#NUM!</v>
      </c>
      <c r="I2" s="292"/>
      <c r="J2" s="292"/>
    </row>
    <row r="3" spans="1:10" x14ac:dyDescent="0.2">
      <c r="A3" s="892" t="s">
        <v>66</v>
      </c>
      <c r="B3" s="893"/>
      <c r="C3" s="297"/>
      <c r="D3" s="297"/>
      <c r="E3" s="297"/>
      <c r="F3" s="297"/>
      <c r="G3" s="297"/>
      <c r="H3" s="297"/>
      <c r="I3" s="294"/>
      <c r="J3" s="294"/>
    </row>
    <row r="4" spans="1:10" x14ac:dyDescent="0.2">
      <c r="A4" s="886" t="s">
        <v>38</v>
      </c>
      <c r="B4" s="887"/>
      <c r="C4" s="298"/>
      <c r="D4" s="298"/>
      <c r="E4" s="298"/>
      <c r="F4" s="298"/>
      <c r="G4" s="298"/>
      <c r="H4" s="298"/>
      <c r="I4" s="294"/>
      <c r="J4" s="294"/>
    </row>
    <row r="5" spans="1:10" x14ac:dyDescent="0.2">
      <c r="A5" s="888" t="s">
        <v>67</v>
      </c>
      <c r="B5" s="889"/>
      <c r="C5" s="317"/>
      <c r="D5" s="317"/>
      <c r="E5" s="317"/>
      <c r="F5" s="317"/>
      <c r="G5" s="317"/>
      <c r="H5" s="317"/>
      <c r="I5" s="294"/>
      <c r="J5" s="294"/>
    </row>
    <row r="6" spans="1:10" x14ac:dyDescent="0.2">
      <c r="A6" s="912" t="s">
        <v>68</v>
      </c>
      <c r="B6" s="913"/>
      <c r="C6" s="318"/>
      <c r="D6" s="318"/>
      <c r="E6" s="318"/>
      <c r="F6" s="318"/>
      <c r="G6" s="318"/>
      <c r="H6" s="318"/>
      <c r="I6" s="294"/>
      <c r="J6" s="294"/>
    </row>
    <row r="7" spans="1:10" x14ac:dyDescent="0.2">
      <c r="A7" s="319"/>
      <c r="B7" s="319"/>
      <c r="C7" s="143">
        <f t="shared" ref="C7:H7" si="0">IF((C3+C4)=0,0,IF(AND((C3-C5)&gt;=0,(C4-C6)&gt;=0),(C3+C4-C5-C6),IF(AND((C3-C5)&gt;0,(C4-C6)&lt;0),(C3-C5),IF(AND((C3-C5)&lt;0,(C4-C6)&gt;0),(C4-C6),IF((C3-C5)&gt;0,(C3-C5),IF((C3-C5)&lt;0,0))))))</f>
        <v>0</v>
      </c>
      <c r="D7" s="143">
        <f t="shared" si="0"/>
        <v>0</v>
      </c>
      <c r="E7" s="143">
        <f t="shared" si="0"/>
        <v>0</v>
      </c>
      <c r="F7" s="143">
        <f t="shared" si="0"/>
        <v>0</v>
      </c>
      <c r="G7" s="143">
        <f t="shared" si="0"/>
        <v>0</v>
      </c>
      <c r="H7" s="143">
        <f t="shared" si="0"/>
        <v>0</v>
      </c>
      <c r="I7" s="240"/>
      <c r="J7" s="240"/>
    </row>
    <row r="8" spans="1:10" x14ac:dyDescent="0.2">
      <c r="A8" s="933" t="s">
        <v>69</v>
      </c>
      <c r="B8" s="934"/>
      <c r="C8" s="297"/>
      <c r="D8" s="297"/>
      <c r="E8" s="297"/>
      <c r="F8" s="297"/>
      <c r="G8" s="297"/>
      <c r="H8" s="297"/>
      <c r="I8" s="294"/>
      <c r="J8" s="294"/>
    </row>
    <row r="9" spans="1:10" x14ac:dyDescent="0.2">
      <c r="A9" s="935" t="s">
        <v>38</v>
      </c>
      <c r="B9" s="936"/>
      <c r="C9" s="298"/>
      <c r="D9" s="298"/>
      <c r="E9" s="298"/>
      <c r="F9" s="298"/>
      <c r="G9" s="298"/>
      <c r="H9" s="298"/>
      <c r="I9" s="294"/>
      <c r="J9" s="294"/>
    </row>
    <row r="10" spans="1:10" x14ac:dyDescent="0.2">
      <c r="A10" s="888" t="s">
        <v>67</v>
      </c>
      <c r="B10" s="889"/>
      <c r="C10" s="297"/>
      <c r="D10" s="297"/>
      <c r="E10" s="297"/>
      <c r="F10" s="297"/>
      <c r="G10" s="297"/>
      <c r="H10" s="297"/>
      <c r="I10" s="294"/>
      <c r="J10" s="294"/>
    </row>
    <row r="11" spans="1:10" x14ac:dyDescent="0.2">
      <c r="A11" s="912" t="s">
        <v>68</v>
      </c>
      <c r="B11" s="913"/>
      <c r="C11" s="318"/>
      <c r="D11" s="318"/>
      <c r="E11" s="318"/>
      <c r="F11" s="318"/>
      <c r="G11" s="318"/>
      <c r="H11" s="318"/>
      <c r="I11" s="294"/>
      <c r="J11" s="294"/>
    </row>
    <row r="12" spans="1:10" x14ac:dyDescent="0.2">
      <c r="A12" s="321"/>
      <c r="B12" s="321"/>
      <c r="C12" s="143">
        <f t="shared" ref="C12:H12" si="1">IF((C8+C9)=0,0,IF(AND((C8-C10)&gt;=0,(C9-C11)&gt;=0),(C8+C9-C10-C11),IF(AND((C8-C10)&gt;0,(C9-C11)&lt;0),(C8-C10),IF(AND((C8-C10)&lt;0,(C9-C11)&gt;0),(C9-C11),IF((C8-C10)&gt;0,(C8-C10),IF((C8-C10)&lt;0,0))))))</f>
        <v>0</v>
      </c>
      <c r="D12" s="143">
        <f t="shared" si="1"/>
        <v>0</v>
      </c>
      <c r="E12" s="143">
        <f t="shared" si="1"/>
        <v>0</v>
      </c>
      <c r="F12" s="143">
        <f t="shared" si="1"/>
        <v>0</v>
      </c>
      <c r="G12" s="143">
        <f t="shared" si="1"/>
        <v>0</v>
      </c>
      <c r="H12" s="143">
        <f t="shared" si="1"/>
        <v>0</v>
      </c>
      <c r="I12" s="240"/>
      <c r="J12" s="240"/>
    </row>
    <row r="13" spans="1:10" x14ac:dyDescent="0.2">
      <c r="A13" s="892" t="s">
        <v>70</v>
      </c>
      <c r="B13" s="893"/>
      <c r="C13" s="297"/>
      <c r="D13" s="297"/>
      <c r="E13" s="297"/>
      <c r="F13" s="297"/>
      <c r="G13" s="297"/>
      <c r="H13" s="297"/>
      <c r="I13" s="294"/>
      <c r="J13" s="294"/>
    </row>
    <row r="14" spans="1:10" x14ac:dyDescent="0.2">
      <c r="A14" s="886" t="s">
        <v>38</v>
      </c>
      <c r="B14" s="887"/>
      <c r="C14" s="298"/>
      <c r="D14" s="298"/>
      <c r="E14" s="298"/>
      <c r="F14" s="298"/>
      <c r="G14" s="298"/>
      <c r="H14" s="298"/>
      <c r="I14" s="294"/>
      <c r="J14" s="294"/>
    </row>
    <row r="15" spans="1:10" x14ac:dyDescent="0.2">
      <c r="A15" s="888" t="s">
        <v>67</v>
      </c>
      <c r="B15" s="889"/>
      <c r="C15" s="323"/>
      <c r="D15" s="297"/>
      <c r="E15" s="297"/>
      <c r="F15" s="297"/>
      <c r="G15" s="297"/>
      <c r="H15" s="297"/>
      <c r="I15" s="294"/>
      <c r="J15" s="294"/>
    </row>
    <row r="16" spans="1:10" x14ac:dyDescent="0.2">
      <c r="A16" s="912" t="s">
        <v>68</v>
      </c>
      <c r="B16" s="913"/>
      <c r="C16" s="324"/>
      <c r="D16" s="325"/>
      <c r="E16" s="325"/>
      <c r="F16" s="325"/>
      <c r="G16" s="325"/>
      <c r="H16" s="325"/>
      <c r="I16" s="294"/>
      <c r="J16" s="294"/>
    </row>
    <row r="17" spans="1:10" x14ac:dyDescent="0.2">
      <c r="A17" s="321"/>
      <c r="B17" s="321"/>
      <c r="C17" s="143">
        <f t="shared" ref="C17:H17" si="2">IF((C13+C14)=0,0,IF(AND((C13-C15)&gt;=0,(C14-C16)&gt;=0),(C13+C14-C15-C16),IF(AND((C13-C15)&gt;0,(C14-C16)&lt;0),(C13-C15),IF(AND((C13-C15)&lt;0,(C14-C16)&gt;0),(C14-C16),IF((C13-C15)&gt;0,(C13-C15),IF((C13-C15)&lt;0,0))))))</f>
        <v>0</v>
      </c>
      <c r="D17" s="143">
        <f t="shared" si="2"/>
        <v>0</v>
      </c>
      <c r="E17" s="143">
        <f t="shared" si="2"/>
        <v>0</v>
      </c>
      <c r="F17" s="143">
        <f t="shared" si="2"/>
        <v>0</v>
      </c>
      <c r="G17" s="143">
        <f t="shared" si="2"/>
        <v>0</v>
      </c>
      <c r="H17" s="143">
        <f t="shared" si="2"/>
        <v>0</v>
      </c>
      <c r="I17" s="240"/>
      <c r="J17" s="240"/>
    </row>
    <row r="18" spans="1:10" x14ac:dyDescent="0.2">
      <c r="A18" s="892" t="s">
        <v>516</v>
      </c>
      <c r="B18" s="893"/>
      <c r="C18" s="328"/>
      <c r="D18" s="328"/>
      <c r="E18" s="328"/>
      <c r="F18" s="328"/>
      <c r="G18" s="328"/>
      <c r="H18" s="328"/>
      <c r="I18" s="294"/>
      <c r="J18" s="294"/>
    </row>
    <row r="19" spans="1:10" x14ac:dyDescent="0.2">
      <c r="A19" s="607"/>
      <c r="B19" s="608" t="s">
        <v>517</v>
      </c>
      <c r="C19" s="609"/>
      <c r="D19" s="609"/>
      <c r="E19" s="609"/>
      <c r="F19" s="609"/>
      <c r="G19" s="609"/>
      <c r="H19" s="609"/>
      <c r="I19" s="294"/>
      <c r="J19" s="294"/>
    </row>
    <row r="20" spans="1:10" x14ac:dyDescent="0.2">
      <c r="A20" s="886" t="s">
        <v>515</v>
      </c>
      <c r="B20" s="887"/>
      <c r="C20" s="362"/>
      <c r="D20" s="362"/>
      <c r="E20" s="362"/>
      <c r="F20" s="362"/>
      <c r="G20" s="362"/>
      <c r="H20" s="362"/>
      <c r="I20" s="294"/>
      <c r="J20" s="294"/>
    </row>
    <row r="21" spans="1:10" x14ac:dyDescent="0.2">
      <c r="A21" s="888" t="s">
        <v>67</v>
      </c>
      <c r="B21" s="889"/>
      <c r="C21" s="323"/>
      <c r="D21" s="328"/>
      <c r="E21" s="328"/>
      <c r="F21" s="328"/>
      <c r="G21" s="328"/>
      <c r="H21" s="328"/>
      <c r="I21" s="294"/>
      <c r="J21" s="294"/>
    </row>
    <row r="22" spans="1:10" x14ac:dyDescent="0.2">
      <c r="A22" s="912" t="s">
        <v>68</v>
      </c>
      <c r="B22" s="913"/>
      <c r="C22" s="329"/>
      <c r="D22" s="318"/>
      <c r="E22" s="318"/>
      <c r="F22" s="318"/>
      <c r="G22" s="318"/>
      <c r="H22" s="318"/>
      <c r="I22" s="294"/>
      <c r="J22" s="294"/>
    </row>
    <row r="23" spans="1:10" s="614" customFormat="1" x14ac:dyDescent="0.2">
      <c r="A23" s="615"/>
      <c r="B23" s="615"/>
      <c r="C23" s="143">
        <f>IF((C18+C19+C20)=0,0,IF(AND((C18+C19-C21)&gt;=0,(C20-C22)&gt;=0),(C18+C19+C20-C21-C22),IF(AND((C18+C19-C21)&gt;0,(C20-C22)&lt;0),(C18+C19-C21),IF(AND((C18+C19-C21)&lt;0,(C20-C22)&gt;0),(C20-C22),IF((C18+C19-C21)&gt;0,(C18+C19-C21),IF((C18+C19-C21)&lt;0,0))))))</f>
        <v>0</v>
      </c>
      <c r="D23" s="143">
        <f t="shared" ref="D23:H23" si="3">IF((D18+D19+D20)=0,0,IF(AND((D18+D19-D21)&gt;=0,(D20-D22)&gt;=0),(D18+D19+D20-D21-D22),IF(AND((D18+D19-D21)&gt;0,(D20-D22)&lt;0),(D18+D19-D21),IF(AND((D18+D19-D21)&lt;0,(D20-D22)&gt;0),(D20-D22),IF((D18+D19-D21)&gt;0,(D18+D19-D21),IF((D18+D19-D21)&lt;0,0))))))</f>
        <v>0</v>
      </c>
      <c r="E23" s="143">
        <f t="shared" si="3"/>
        <v>0</v>
      </c>
      <c r="F23" s="143">
        <f t="shared" si="3"/>
        <v>0</v>
      </c>
      <c r="G23" s="143">
        <f t="shared" si="3"/>
        <v>0</v>
      </c>
      <c r="H23" s="143">
        <f t="shared" si="3"/>
        <v>0</v>
      </c>
      <c r="I23" s="81"/>
      <c r="J23" s="81"/>
    </row>
    <row r="24" spans="1:10" x14ac:dyDescent="0.2">
      <c r="A24" s="892" t="s">
        <v>71</v>
      </c>
      <c r="B24" s="893"/>
      <c r="C24" s="297"/>
      <c r="D24" s="297"/>
      <c r="E24" s="297"/>
      <c r="F24" s="297"/>
      <c r="G24" s="297"/>
      <c r="H24" s="297"/>
      <c r="I24" s="294"/>
      <c r="J24" s="294"/>
    </row>
    <row r="25" spans="1:10" x14ac:dyDescent="0.2">
      <c r="A25" s="886" t="s">
        <v>38</v>
      </c>
      <c r="B25" s="887"/>
      <c r="C25" s="298"/>
      <c r="D25" s="298"/>
      <c r="E25" s="298"/>
      <c r="F25" s="298"/>
      <c r="G25" s="298"/>
      <c r="H25" s="298"/>
      <c r="I25" s="294"/>
      <c r="J25" s="294"/>
    </row>
    <row r="26" spans="1:10" x14ac:dyDescent="0.2">
      <c r="A26" s="888" t="s">
        <v>67</v>
      </c>
      <c r="B26" s="889"/>
      <c r="C26" s="323"/>
      <c r="D26" s="297"/>
      <c r="E26" s="297"/>
      <c r="F26" s="297"/>
      <c r="G26" s="297"/>
      <c r="H26" s="297"/>
      <c r="I26" s="294"/>
      <c r="J26" s="294"/>
    </row>
    <row r="27" spans="1:10" x14ac:dyDescent="0.2">
      <c r="A27" s="890" t="s">
        <v>68</v>
      </c>
      <c r="B27" s="891"/>
      <c r="C27" s="329"/>
      <c r="D27" s="318"/>
      <c r="E27" s="318"/>
      <c r="F27" s="318"/>
      <c r="G27" s="318"/>
      <c r="H27" s="318"/>
      <c r="I27" s="294"/>
      <c r="J27" s="294"/>
    </row>
    <row r="28" spans="1:10" x14ac:dyDescent="0.2">
      <c r="A28" s="331"/>
      <c r="B28" s="330"/>
      <c r="C28" s="144">
        <f t="shared" ref="C28:H28" si="4">IF((C24+C25)=0,0,IF(AND((C24-C26)&gt;=0,(C25-C27)&gt;=0),(C24+C25-C26-C27),IF(AND((C24-C26)&gt;0,(C25-C27)&lt;0),(C24-C26),IF(AND((C24-C26)&lt;0,(C25-C27)&gt;0),(C25-C27),IF((C24-C26)&gt;0,(C24-C26),IF((C24-C26)&lt;0,0))))))</f>
        <v>0</v>
      </c>
      <c r="D28" s="144">
        <f t="shared" si="4"/>
        <v>0</v>
      </c>
      <c r="E28" s="144">
        <f t="shared" si="4"/>
        <v>0</v>
      </c>
      <c r="F28" s="144">
        <f t="shared" si="4"/>
        <v>0</v>
      </c>
      <c r="G28" s="144">
        <f t="shared" si="4"/>
        <v>0</v>
      </c>
      <c r="H28" s="144">
        <f t="shared" si="4"/>
        <v>0</v>
      </c>
      <c r="I28" s="239"/>
      <c r="J28" s="239"/>
    </row>
    <row r="29" spans="1:10" s="614" customFormat="1" x14ac:dyDescent="0.2">
      <c r="A29" s="84"/>
      <c r="B29" s="616"/>
      <c r="C29" s="616">
        <f>IF(AND(C18&gt;0,AS!C53&gt;0),C18,0)</f>
        <v>0</v>
      </c>
      <c r="D29" s="616">
        <f>IF(AND(D18&gt;0,AS!D53&gt;0),D18,0)</f>
        <v>0</v>
      </c>
      <c r="E29" s="616">
        <f>IF(AND(E18&gt;0,AS!E53&gt;0),E18,0)</f>
        <v>0</v>
      </c>
      <c r="F29" s="616">
        <f>IF(AND(F18&gt;0,AS!F53&gt;0),F18,0)</f>
        <v>0</v>
      </c>
      <c r="G29" s="616">
        <f>IF(AND(G18&gt;0,AS!G53&gt;0),G18,0)</f>
        <v>0</v>
      </c>
      <c r="H29" s="616">
        <f>IF(AND(H18&gt;0,AS!H53&gt;0),H18,0)</f>
        <v>0</v>
      </c>
      <c r="I29" s="617"/>
      <c r="J29" s="613"/>
    </row>
    <row r="30" spans="1:10" x14ac:dyDescent="0.2">
      <c r="A30" s="239"/>
      <c r="B30" s="1044"/>
      <c r="C30" s="1044"/>
      <c r="D30" s="409"/>
      <c r="E30" s="409"/>
      <c r="F30" s="409"/>
      <c r="G30" s="409"/>
      <c r="H30" s="409"/>
      <c r="I30" s="409"/>
      <c r="J30" s="239"/>
    </row>
    <row r="31" spans="1:10" x14ac:dyDescent="0.2">
      <c r="A31" s="239"/>
      <c r="B31" s="1045"/>
      <c r="C31" s="1045"/>
      <c r="D31" s="334"/>
      <c r="E31" s="334"/>
      <c r="F31" s="334"/>
      <c r="G31" s="334"/>
      <c r="H31" s="334"/>
      <c r="I31" s="334"/>
      <c r="J31" s="239"/>
    </row>
    <row r="32" spans="1:10" x14ac:dyDescent="0.2">
      <c r="A32" s="239"/>
      <c r="B32" s="1045"/>
      <c r="C32" s="1045"/>
      <c r="D32" s="334"/>
      <c r="E32" s="334"/>
      <c r="F32" s="334"/>
      <c r="G32" s="334"/>
      <c r="H32" s="334"/>
      <c r="I32" s="334"/>
      <c r="J32" s="239"/>
    </row>
    <row r="33" spans="1:10" x14ac:dyDescent="0.2">
      <c r="A33" s="239"/>
      <c r="B33" s="332"/>
      <c r="C33" s="332"/>
      <c r="D33" s="334"/>
      <c r="E33" s="334"/>
      <c r="F33" s="334"/>
      <c r="G33" s="334"/>
      <c r="H33" s="334"/>
      <c r="I33" s="334"/>
      <c r="J33" s="239"/>
    </row>
    <row r="34" spans="1:10" x14ac:dyDescent="0.2">
      <c r="A34" s="239"/>
      <c r="B34" s="239"/>
      <c r="C34" s="239"/>
      <c r="D34" s="239"/>
      <c r="E34" s="239"/>
      <c r="F34" s="239"/>
      <c r="G34" s="239"/>
      <c r="H34" s="239"/>
      <c r="I34" s="239"/>
      <c r="J34" s="239"/>
    </row>
    <row r="35" spans="1:10" x14ac:dyDescent="0.2">
      <c r="A35" s="239"/>
      <c r="B35" s="239"/>
      <c r="C35" s="239"/>
      <c r="D35" s="239"/>
      <c r="E35" s="239"/>
      <c r="F35" s="239"/>
      <c r="G35" s="239"/>
      <c r="H35" s="239"/>
      <c r="I35" s="239"/>
      <c r="J35" s="239"/>
    </row>
    <row r="36" spans="1:10" x14ac:dyDescent="0.2">
      <c r="A36" s="239"/>
      <c r="B36" s="239"/>
      <c r="C36" s="239"/>
      <c r="D36" s="239"/>
      <c r="E36" s="239"/>
      <c r="F36" s="239"/>
      <c r="G36" s="239"/>
      <c r="H36" s="239"/>
      <c r="I36" s="239"/>
      <c r="J36" s="239"/>
    </row>
    <row r="37" spans="1:10" ht="15" x14ac:dyDescent="0.25">
      <c r="A37" s="931" t="s">
        <v>29</v>
      </c>
      <c r="B37" s="932"/>
      <c r="C37" s="255" t="e">
        <f>EDATE(BG!D2,-6)</f>
        <v>#NUM!</v>
      </c>
      <c r="D37" s="255" t="e">
        <f>EDATE(BG!D2,-5)</f>
        <v>#NUM!</v>
      </c>
      <c r="E37" s="255" t="e">
        <f>EDATE(BG!D2,-4)</f>
        <v>#NUM!</v>
      </c>
      <c r="F37" s="255" t="e">
        <f>EDATE(BG!D2,-3)</f>
        <v>#NUM!</v>
      </c>
      <c r="G37" s="255" t="e">
        <f>EDATE(BG!D2,-2)</f>
        <v>#NUM!</v>
      </c>
      <c r="H37" s="255" t="e">
        <f>EDATE(BG!D2,-1)</f>
        <v>#NUM!</v>
      </c>
      <c r="I37" s="292"/>
      <c r="J37" s="292"/>
    </row>
    <row r="38" spans="1:10" x14ac:dyDescent="0.2">
      <c r="A38" s="896" t="s">
        <v>73</v>
      </c>
      <c r="B38" s="897"/>
      <c r="C38" s="333"/>
      <c r="D38" s="333"/>
      <c r="E38" s="333"/>
      <c r="F38" s="333"/>
      <c r="G38" s="333"/>
      <c r="H38" s="333"/>
      <c r="I38" s="294"/>
      <c r="J38" s="294"/>
    </row>
    <row r="39" spans="1:10" x14ac:dyDescent="0.2">
      <c r="A39" s="868" t="s">
        <v>74</v>
      </c>
      <c r="B39" s="869"/>
      <c r="C39" s="333"/>
      <c r="D39" s="333"/>
      <c r="E39" s="333"/>
      <c r="F39" s="333"/>
      <c r="G39" s="333"/>
      <c r="H39" s="333"/>
      <c r="I39" s="294"/>
      <c r="J39" s="294"/>
    </row>
    <row r="40" spans="1:10" x14ac:dyDescent="0.2">
      <c r="A40" s="239"/>
      <c r="B40" s="239"/>
      <c r="C40" s="239"/>
      <c r="D40" s="239"/>
      <c r="E40" s="239"/>
      <c r="F40" s="239"/>
      <c r="G40" s="239"/>
      <c r="H40" s="239"/>
      <c r="I40" s="240"/>
      <c r="J40" s="240"/>
    </row>
    <row r="41" spans="1:10" x14ac:dyDescent="0.2">
      <c r="A41" s="1046" t="s">
        <v>252</v>
      </c>
      <c r="B41" s="1047"/>
      <c r="C41" s="363"/>
      <c r="D41" s="363"/>
      <c r="E41" s="363"/>
      <c r="F41" s="363"/>
      <c r="G41" s="363"/>
      <c r="H41" s="363"/>
      <c r="I41" s="294"/>
      <c r="J41" s="294"/>
    </row>
    <row r="42" spans="1:10" x14ac:dyDescent="0.2">
      <c r="A42" s="1042" t="s">
        <v>313</v>
      </c>
      <c r="B42" s="1043"/>
      <c r="C42" s="294"/>
      <c r="D42" s="294"/>
      <c r="E42" s="294"/>
      <c r="F42" s="294"/>
      <c r="G42" s="294"/>
      <c r="H42" s="410"/>
      <c r="I42" s="240"/>
      <c r="J42" s="240"/>
    </row>
    <row r="43" spans="1:10" x14ac:dyDescent="0.2">
      <c r="A43" s="884" t="s">
        <v>314</v>
      </c>
      <c r="B43" s="885"/>
      <c r="C43" s="336"/>
      <c r="D43" s="336"/>
      <c r="E43" s="336"/>
      <c r="F43" s="336"/>
      <c r="G43" s="336"/>
      <c r="H43" s="336"/>
      <c r="I43" s="294"/>
      <c r="J43" s="294"/>
    </row>
    <row r="44" spans="1:10" x14ac:dyDescent="0.2">
      <c r="A44" s="880" t="s">
        <v>495</v>
      </c>
      <c r="B44" s="881"/>
      <c r="C44" s="339"/>
      <c r="D44" s="339"/>
      <c r="E44" s="339"/>
      <c r="F44" s="339"/>
      <c r="G44" s="339"/>
      <c r="H44" s="339"/>
      <c r="I44" s="294"/>
      <c r="J44" s="294"/>
    </row>
    <row r="45" spans="1:10" x14ac:dyDescent="0.2">
      <c r="A45" s="882" t="s">
        <v>316</v>
      </c>
      <c r="B45" s="883"/>
      <c r="C45" s="339"/>
      <c r="D45" s="339"/>
      <c r="E45" s="339"/>
      <c r="F45" s="339"/>
      <c r="G45" s="339"/>
      <c r="H45" s="339"/>
      <c r="I45" s="294"/>
      <c r="J45" s="294"/>
    </row>
    <row r="46" spans="1:10" x14ac:dyDescent="0.2">
      <c r="A46" s="870" t="s">
        <v>317</v>
      </c>
      <c r="B46" s="871"/>
      <c r="C46" s="340" t="e">
        <f t="shared" ref="C46:H46" si="5">IF(AND(C96=0,C41&gt;0,C61&gt;17),30,0)</f>
        <v>#NUM!</v>
      </c>
      <c r="D46" s="340" t="e">
        <f t="shared" si="5"/>
        <v>#NUM!</v>
      </c>
      <c r="E46" s="340" t="e">
        <f t="shared" si="5"/>
        <v>#NUM!</v>
      </c>
      <c r="F46" s="340" t="e">
        <f t="shared" si="5"/>
        <v>#NUM!</v>
      </c>
      <c r="G46" s="340" t="e">
        <f t="shared" si="5"/>
        <v>#NUM!</v>
      </c>
      <c r="H46" s="340" t="e">
        <f t="shared" si="5"/>
        <v>#NUM!</v>
      </c>
      <c r="I46" s="240"/>
      <c r="J46" s="240"/>
    </row>
    <row r="47" spans="1:10" x14ac:dyDescent="0.2">
      <c r="A47" s="872" t="s">
        <v>58</v>
      </c>
      <c r="B47" s="872"/>
      <c r="C47" s="364"/>
      <c r="D47" s="364"/>
      <c r="E47" s="364"/>
      <c r="F47" s="364"/>
      <c r="G47" s="364"/>
      <c r="H47" s="364"/>
      <c r="I47" s="294"/>
      <c r="J47" s="294"/>
    </row>
    <row r="48" spans="1:10" x14ac:dyDescent="0.2">
      <c r="A48" s="873" t="s">
        <v>318</v>
      </c>
      <c r="B48" s="874"/>
      <c r="C48" s="336"/>
      <c r="D48" s="336"/>
      <c r="E48" s="336"/>
      <c r="F48" s="336"/>
      <c r="G48" s="336"/>
      <c r="H48" s="336"/>
      <c r="I48" s="294"/>
      <c r="J48" s="294"/>
    </row>
    <row r="49" spans="1:10" x14ac:dyDescent="0.2">
      <c r="A49" s="810" t="s">
        <v>319</v>
      </c>
      <c r="B49" s="810"/>
      <c r="C49" s="337"/>
      <c r="D49" s="337"/>
      <c r="E49" s="337"/>
      <c r="F49" s="337"/>
      <c r="G49" s="337"/>
      <c r="H49" s="337"/>
      <c r="I49" s="294"/>
      <c r="J49" s="294"/>
    </row>
    <row r="50" spans="1:10" x14ac:dyDescent="0.2">
      <c r="A50" s="810" t="s">
        <v>320</v>
      </c>
      <c r="B50" s="810"/>
      <c r="C50" s="287">
        <f t="shared" ref="C50:H50" si="6">IF(C41=ISBLANK(0),0,IF(C96&gt;0,SUM(C43:C49),IF(C96=0,IF(SUM(C43:C49)&lt;100,100,SUM(C43:C49)))))</f>
        <v>0</v>
      </c>
      <c r="D50" s="287">
        <f t="shared" si="6"/>
        <v>0</v>
      </c>
      <c r="E50" s="287">
        <f t="shared" si="6"/>
        <v>0</v>
      </c>
      <c r="F50" s="287">
        <f t="shared" si="6"/>
        <v>0</v>
      </c>
      <c r="G50" s="287">
        <f t="shared" si="6"/>
        <v>0</v>
      </c>
      <c r="H50" s="287">
        <f t="shared" si="6"/>
        <v>0</v>
      </c>
      <c r="I50" s="294"/>
      <c r="J50" s="294"/>
    </row>
    <row r="51" spans="1:10" x14ac:dyDescent="0.2">
      <c r="A51" s="810" t="s">
        <v>322</v>
      </c>
      <c r="B51" s="810"/>
      <c r="C51" s="287">
        <f t="shared" ref="C51:H51" si="7">IF(C41-C50&lt;0,0,C41-C50)</f>
        <v>0</v>
      </c>
      <c r="D51" s="287">
        <f t="shared" si="7"/>
        <v>0</v>
      </c>
      <c r="E51" s="287">
        <f t="shared" si="7"/>
        <v>0</v>
      </c>
      <c r="F51" s="287">
        <f t="shared" si="7"/>
        <v>0</v>
      </c>
      <c r="G51" s="287">
        <f t="shared" si="7"/>
        <v>0</v>
      </c>
      <c r="H51" s="287">
        <f t="shared" si="7"/>
        <v>0</v>
      </c>
      <c r="I51" s="240"/>
      <c r="J51" s="240"/>
    </row>
    <row r="52" spans="1:10" x14ac:dyDescent="0.2">
      <c r="A52" s="866" t="s">
        <v>321</v>
      </c>
      <c r="B52" s="867"/>
      <c r="C52" s="365"/>
      <c r="D52" s="365"/>
      <c r="E52" s="365"/>
      <c r="F52" s="365"/>
      <c r="G52" s="365"/>
      <c r="H52" s="365"/>
      <c r="I52" s="294"/>
      <c r="J52" s="294"/>
    </row>
    <row r="53" spans="1:10" x14ac:dyDescent="0.2">
      <c r="A53" s="868" t="s">
        <v>68</v>
      </c>
      <c r="B53" s="869"/>
      <c r="C53" s="333"/>
      <c r="D53" s="333"/>
      <c r="E53" s="333"/>
      <c r="F53" s="333"/>
      <c r="G53" s="333"/>
      <c r="H53" s="333"/>
      <c r="I53" s="294"/>
      <c r="J53" s="294"/>
    </row>
    <row r="54" spans="1:10" x14ac:dyDescent="0.2">
      <c r="A54" s="239"/>
      <c r="B54" s="239"/>
      <c r="C54" s="93">
        <f t="shared" ref="C54:H54" si="8">IF((C52-C53)&lt;0,0,(C52-C53))</f>
        <v>0</v>
      </c>
      <c r="D54" s="93">
        <f t="shared" si="8"/>
        <v>0</v>
      </c>
      <c r="E54" s="93">
        <f t="shared" si="8"/>
        <v>0</v>
      </c>
      <c r="F54" s="93">
        <f t="shared" si="8"/>
        <v>0</v>
      </c>
      <c r="G54" s="93">
        <f t="shared" si="8"/>
        <v>0</v>
      </c>
      <c r="H54" s="93">
        <f t="shared" si="8"/>
        <v>0</v>
      </c>
      <c r="I54" s="240"/>
      <c r="J54" s="240"/>
    </row>
    <row r="55" spans="1:10" x14ac:dyDescent="0.2">
      <c r="A55" s="239"/>
      <c r="B55" s="239"/>
      <c r="C55" s="93">
        <f t="shared" ref="C55:H55" si="9">IF(C38-C39&lt;0,0,C38-C39)</f>
        <v>0</v>
      </c>
      <c r="D55" s="93">
        <f t="shared" si="9"/>
        <v>0</v>
      </c>
      <c r="E55" s="93">
        <f t="shared" si="9"/>
        <v>0</v>
      </c>
      <c r="F55" s="93">
        <f t="shared" si="9"/>
        <v>0</v>
      </c>
      <c r="G55" s="93">
        <f t="shared" si="9"/>
        <v>0</v>
      </c>
      <c r="H55" s="93">
        <f t="shared" si="9"/>
        <v>0</v>
      </c>
      <c r="I55" s="240"/>
      <c r="J55" s="240"/>
    </row>
    <row r="56" spans="1:10" ht="15" x14ac:dyDescent="0.25">
      <c r="A56" s="902" t="s">
        <v>75</v>
      </c>
      <c r="B56" s="902"/>
      <c r="C56" s="342" t="s">
        <v>323</v>
      </c>
      <c r="D56" s="309"/>
      <c r="E56" s="309"/>
      <c r="F56" s="309"/>
      <c r="G56" s="309"/>
      <c r="H56" s="309"/>
      <c r="I56" s="240"/>
      <c r="J56" s="240"/>
    </row>
    <row r="57" spans="1:10" x14ac:dyDescent="0.2">
      <c r="A57" s="903" t="s">
        <v>56</v>
      </c>
      <c r="B57" s="903"/>
      <c r="C57" s="308"/>
      <c r="D57" s="308"/>
      <c r="E57" s="308"/>
      <c r="F57" s="308"/>
      <c r="G57" s="308"/>
      <c r="H57" s="308"/>
      <c r="I57" s="294"/>
      <c r="J57" s="294"/>
    </row>
    <row r="58" spans="1:10" x14ac:dyDescent="0.2">
      <c r="A58" s="903" t="s">
        <v>57</v>
      </c>
      <c r="B58" s="903"/>
      <c r="C58" s="308"/>
      <c r="D58" s="308"/>
      <c r="E58" s="308"/>
      <c r="F58" s="308"/>
      <c r="G58" s="308"/>
      <c r="H58" s="308"/>
      <c r="I58" s="294"/>
      <c r="J58" s="294"/>
    </row>
    <row r="59" spans="1:10" x14ac:dyDescent="0.2">
      <c r="A59" s="903" t="s">
        <v>58</v>
      </c>
      <c r="B59" s="903"/>
      <c r="C59" s="308"/>
      <c r="D59" s="308"/>
      <c r="E59" s="308"/>
      <c r="F59" s="308"/>
      <c r="G59" s="308"/>
      <c r="H59" s="308"/>
      <c r="I59" s="294"/>
      <c r="J59" s="294"/>
    </row>
    <row r="60" spans="1:10" x14ac:dyDescent="0.2">
      <c r="A60" s="903" t="s">
        <v>76</v>
      </c>
      <c r="B60" s="903"/>
      <c r="C60" s="343">
        <f>IF(C61&lt;18,0,IF(C46=30,0,IF((C75+C76+H78)&gt;0,0,IF(C96=0,30,IF(C96&gt;0,0)))))</f>
        <v>0</v>
      </c>
      <c r="D60" s="343">
        <f>IF(D61&lt;18,0,IF(D46=30,0,IF((D75+D76+H78)&gt;0,0,IF(D96=0,30,IF(D96&gt;0,0)))))</f>
        <v>0</v>
      </c>
      <c r="E60" s="343">
        <f>IF(E61&lt;18,0,IF(E46=30,0,IF((E75+E76+H78)&gt;0,0,IF(E96=0,30,IF(E96&gt;0,0)))))</f>
        <v>0</v>
      </c>
      <c r="F60" s="343">
        <f>IF(F61&lt;18,0,IF(F46=30,0,IF((F75+F76+H78)&gt;0,0,IF(F96=0,30,IF(F96&gt;0,0)))))</f>
        <v>0</v>
      </c>
      <c r="G60" s="343">
        <f>IF(G61&lt;18,0,IF(G46=30,0,IF((G75+G76+H78)&gt;0,0,IF(G96=0,30,IF(G96&gt;0,0)))))</f>
        <v>0</v>
      </c>
      <c r="H60" s="343">
        <f>IF(H61&lt;18,0,IF(H46=30,0,IF((H75+H76+H78)&gt;0,0,IF(H96=0,30,IF(H96&gt;0,0)))))</f>
        <v>0</v>
      </c>
      <c r="I60" s="239"/>
      <c r="J60" s="239"/>
    </row>
    <row r="61" spans="1:10" x14ac:dyDescent="0.2">
      <c r="A61" s="239"/>
      <c r="B61" s="239"/>
      <c r="C61" s="84">
        <f>IF(BG!$C$31=ISBLANK(0),0,IF(INT((C37-BG!$C$31)/365.25)&lt;0,0,INT((C37-BG!$C$31)/365.25)))</f>
        <v>0</v>
      </c>
      <c r="D61" s="84">
        <f>IF(BG!$C$31=ISBLANK(0),0,IF(INT((D37-BG!$C$31)/365.25)&lt;0,0,INT((D37-BG!$C$31)/365.25)))</f>
        <v>0</v>
      </c>
      <c r="E61" s="84">
        <f>IF(BG!$C$31=ISBLANK(0),0,IF(INT((E37-BG!$C$31)/365.25)&lt;0,0,INT((E37-BG!$C$31)/365.25)))</f>
        <v>0</v>
      </c>
      <c r="F61" s="84">
        <f>IF(BG!$C$31=ISBLANK(0),0,IF(INT((F37-BG!$C$31)/365.25)&lt;0,0,INT((F37-BG!$C$31)/365.25)))</f>
        <v>0</v>
      </c>
      <c r="G61" s="84">
        <f>IF(BG!$C$31=ISBLANK(0),0,IF(INT((G37-BG!$C$31)/365.25)&lt;0,0,INT((G37-BG!$C$31)/365.25)))</f>
        <v>0</v>
      </c>
      <c r="H61" s="84">
        <f>IF(BG!$C$31=ISBLANK(0),0,IF(INT((H37-BG!$C$31)/365.25)&lt;0,0,INT((H37-BG!$C$31)/365.25)))</f>
        <v>0</v>
      </c>
      <c r="I61" s="239"/>
      <c r="J61" s="239"/>
    </row>
    <row r="62" spans="1:10" x14ac:dyDescent="0.2">
      <c r="A62" s="241"/>
      <c r="B62" s="344" t="s">
        <v>77</v>
      </c>
      <c r="C62" s="97">
        <f t="shared" ref="C62:H62" si="10">C7+C12+C17+C23+C28+C51+C54+C55</f>
        <v>0</v>
      </c>
      <c r="D62" s="97">
        <f t="shared" si="10"/>
        <v>0</v>
      </c>
      <c r="E62" s="97">
        <f t="shared" si="10"/>
        <v>0</v>
      </c>
      <c r="F62" s="97">
        <f t="shared" si="10"/>
        <v>0</v>
      </c>
      <c r="G62" s="97">
        <f t="shared" si="10"/>
        <v>0</v>
      </c>
      <c r="H62" s="97">
        <f t="shared" si="10"/>
        <v>0</v>
      </c>
      <c r="I62" s="258" t="s">
        <v>48</v>
      </c>
      <c r="J62" s="239"/>
    </row>
    <row r="63" spans="1:10" x14ac:dyDescent="0.2">
      <c r="A63" s="345"/>
      <c r="B63" s="346" t="s">
        <v>78</v>
      </c>
      <c r="C63" s="106">
        <f t="shared" ref="C63:H63" si="11">SUM(C57:C60)</f>
        <v>0</v>
      </c>
      <c r="D63" s="106">
        <f t="shared" si="11"/>
        <v>0</v>
      </c>
      <c r="E63" s="106">
        <f t="shared" si="11"/>
        <v>0</v>
      </c>
      <c r="F63" s="106">
        <f t="shared" si="11"/>
        <v>0</v>
      </c>
      <c r="G63" s="106">
        <f t="shared" si="11"/>
        <v>0</v>
      </c>
      <c r="H63" s="106">
        <f t="shared" si="11"/>
        <v>0</v>
      </c>
      <c r="I63" s="347"/>
      <c r="J63" s="239"/>
    </row>
    <row r="64" spans="1:10" x14ac:dyDescent="0.2">
      <c r="A64" s="281"/>
      <c r="B64" s="348" t="s">
        <v>79</v>
      </c>
      <c r="C64" s="296">
        <f t="shared" ref="C64:H64" si="12">IF((C62-C63)&lt;0,0,(C62-C63))</f>
        <v>0</v>
      </c>
      <c r="D64" s="296">
        <f t="shared" si="12"/>
        <v>0</v>
      </c>
      <c r="E64" s="296">
        <f t="shared" si="12"/>
        <v>0</v>
      </c>
      <c r="F64" s="296">
        <f t="shared" si="12"/>
        <v>0</v>
      </c>
      <c r="G64" s="296">
        <f t="shared" si="12"/>
        <v>0</v>
      </c>
      <c r="H64" s="296">
        <f t="shared" si="12"/>
        <v>0</v>
      </c>
      <c r="I64" s="287">
        <f>SUM(C64:H64)</f>
        <v>0</v>
      </c>
      <c r="J64" s="239"/>
    </row>
    <row r="65" spans="1:10" x14ac:dyDescent="0.2">
      <c r="A65" s="239"/>
      <c r="B65" s="239"/>
      <c r="C65" s="239"/>
      <c r="D65" s="239"/>
      <c r="E65" s="239"/>
      <c r="F65" s="239"/>
      <c r="G65" s="239"/>
      <c r="H65" s="239"/>
      <c r="I65" s="239"/>
      <c r="J65" s="239"/>
    </row>
    <row r="66" spans="1:10" x14ac:dyDescent="0.2">
      <c r="A66" s="239"/>
      <c r="B66" s="239"/>
      <c r="C66" s="239"/>
      <c r="D66" s="239"/>
      <c r="E66" s="239"/>
      <c r="F66" s="239"/>
      <c r="G66" s="239"/>
      <c r="H66" s="239"/>
      <c r="I66" s="239"/>
      <c r="J66" s="239"/>
    </row>
    <row r="67" spans="1:10" x14ac:dyDescent="0.2">
      <c r="A67" s="239"/>
      <c r="B67" s="239"/>
      <c r="C67" s="239"/>
      <c r="D67" s="239"/>
      <c r="E67" s="239"/>
      <c r="F67" s="239"/>
      <c r="G67" s="239"/>
      <c r="H67" s="239"/>
      <c r="I67" s="239"/>
      <c r="J67" s="239"/>
    </row>
    <row r="68" spans="1:10" x14ac:dyDescent="0.2">
      <c r="A68" s="239"/>
      <c r="B68" s="239"/>
      <c r="C68" s="239"/>
      <c r="D68" s="239"/>
      <c r="E68" s="239"/>
      <c r="F68" s="239"/>
      <c r="G68" s="239"/>
      <c r="H68" s="239"/>
      <c r="I68" s="239"/>
      <c r="J68" s="239"/>
    </row>
    <row r="69" spans="1:10" x14ac:dyDescent="0.2">
      <c r="A69" s="239"/>
      <c r="B69" s="239"/>
      <c r="C69" s="239"/>
      <c r="D69" s="239"/>
      <c r="E69" s="239"/>
      <c r="F69" s="239"/>
      <c r="G69" s="239"/>
      <c r="H69" s="239"/>
      <c r="I69" s="239"/>
      <c r="J69" s="239"/>
    </row>
    <row r="70" spans="1:10" x14ac:dyDescent="0.2">
      <c r="A70" s="239"/>
      <c r="B70" s="239"/>
      <c r="C70" s="239"/>
      <c r="D70" s="239"/>
      <c r="E70" s="239"/>
      <c r="F70" s="239"/>
      <c r="G70" s="239"/>
      <c r="H70" s="239"/>
      <c r="I70" s="239"/>
      <c r="J70" s="239"/>
    </row>
    <row r="71" spans="1:10" x14ac:dyDescent="0.2">
      <c r="A71" s="239"/>
      <c r="B71" s="239"/>
      <c r="C71" s="239"/>
      <c r="D71" s="239"/>
      <c r="E71" s="239"/>
      <c r="F71" s="239"/>
      <c r="G71" s="239"/>
      <c r="H71" s="239"/>
      <c r="I71" s="239"/>
      <c r="J71" s="239"/>
    </row>
    <row r="72" spans="1:10" ht="15" x14ac:dyDescent="0.25">
      <c r="A72" s="249"/>
      <c r="B72" s="239"/>
      <c r="C72" s="914" t="s">
        <v>46</v>
      </c>
      <c r="D72" s="914"/>
      <c r="E72" s="914"/>
      <c r="F72" s="914"/>
      <c r="G72" s="914"/>
      <c r="H72" s="914"/>
      <c r="I72" s="239"/>
      <c r="J72" s="239"/>
    </row>
    <row r="73" spans="1:10" ht="15" x14ac:dyDescent="0.25">
      <c r="A73" s="915" t="s">
        <v>29</v>
      </c>
      <c r="B73" s="915"/>
      <c r="C73" s="255" t="e">
        <f>EDATE(BG!D2,-6)</f>
        <v>#NUM!</v>
      </c>
      <c r="D73" s="255" t="e">
        <f>EDATE(BG!D2,-5)</f>
        <v>#NUM!</v>
      </c>
      <c r="E73" s="255" t="e">
        <f>EDATE(BG!D2,-4)</f>
        <v>#NUM!</v>
      </c>
      <c r="F73" s="255" t="e">
        <f>EDATE(BG!D2,-3)</f>
        <v>#NUM!</v>
      </c>
      <c r="G73" s="255" t="e">
        <f>EDATE(BG!D2,-2)</f>
        <v>#NUM!</v>
      </c>
      <c r="H73" s="255" t="e">
        <f>EDATE(BG!D2,-1)</f>
        <v>#NUM!</v>
      </c>
      <c r="I73" s="245"/>
      <c r="J73" s="292"/>
    </row>
    <row r="74" spans="1:10" x14ac:dyDescent="0.2">
      <c r="A74" s="1050" t="s">
        <v>596</v>
      </c>
      <c r="B74" s="1051"/>
      <c r="C74" s="366" t="s">
        <v>185</v>
      </c>
      <c r="D74" s="366" t="s">
        <v>185</v>
      </c>
      <c r="E74" s="366" t="s">
        <v>185</v>
      </c>
      <c r="F74" s="366" t="s">
        <v>185</v>
      </c>
      <c r="G74" s="366" t="s">
        <v>185</v>
      </c>
      <c r="H74" s="366" t="s">
        <v>185</v>
      </c>
      <c r="I74" s="345"/>
      <c r="J74" s="332" t="str">
        <f>IF(SUM(C77:H77)&gt;0,"bitte hier"," ")</f>
        <v xml:space="preserve"> </v>
      </c>
    </row>
    <row r="75" spans="1:10" ht="14.25" customHeight="1" x14ac:dyDescent="0.2">
      <c r="A75" s="916" t="s">
        <v>47</v>
      </c>
      <c r="B75" s="916"/>
      <c r="C75" s="264"/>
      <c r="D75" s="264"/>
      <c r="E75" s="264"/>
      <c r="F75" s="264"/>
      <c r="G75" s="264"/>
      <c r="H75" s="264"/>
      <c r="I75" s="311"/>
      <c r="J75" s="367" t="str">
        <f>IF(SUM(C77:H77)&gt;0,"eintragen"," ")</f>
        <v xml:space="preserve"> </v>
      </c>
    </row>
    <row r="76" spans="1:10" x14ac:dyDescent="0.2">
      <c r="A76" s="917" t="s">
        <v>38</v>
      </c>
      <c r="B76" s="917"/>
      <c r="C76" s="266"/>
      <c r="D76" s="266"/>
      <c r="E76" s="266"/>
      <c r="F76" s="266"/>
      <c r="G76" s="266"/>
      <c r="H76" s="266"/>
      <c r="I76" s="368" t="str">
        <f>IF(SUM(C77:H77)&gt;0,"Beginn d."," ")</f>
        <v xml:space="preserve"> </v>
      </c>
      <c r="J76" s="1052"/>
    </row>
    <row r="77" spans="1:10" ht="14.25" customHeight="1" x14ac:dyDescent="0.2">
      <c r="A77" s="918" t="s">
        <v>242</v>
      </c>
      <c r="B77" s="918"/>
      <c r="C77" s="369"/>
      <c r="D77" s="369"/>
      <c r="E77" s="369"/>
      <c r="F77" s="369"/>
      <c r="G77" s="369"/>
      <c r="H77" s="369"/>
      <c r="I77" s="370" t="str">
        <f>IF(SUM(C77:H77)&gt;0,"Selbständigkeit:"," ")</f>
        <v xml:space="preserve"> </v>
      </c>
      <c r="J77" s="1053"/>
    </row>
    <row r="78" spans="1:10" x14ac:dyDescent="0.2">
      <c r="A78" s="239"/>
      <c r="B78" s="239"/>
      <c r="C78" s="248"/>
      <c r="D78" s="248"/>
      <c r="E78" s="142" t="s">
        <v>48</v>
      </c>
      <c r="F78" s="83">
        <f>SUM(C77:H77)</f>
        <v>0</v>
      </c>
      <c r="G78" s="81" t="s">
        <v>49</v>
      </c>
      <c r="H78" s="83" t="e">
        <f>ROUND((F78/J81),2)</f>
        <v>#NUM!</v>
      </c>
      <c r="I78" s="411" t="str">
        <f>IF(SUM(C77:H77)&gt;0,"Ende d."," ")</f>
        <v xml:space="preserve"> </v>
      </c>
      <c r="J78" s="1048"/>
    </row>
    <row r="79" spans="1:10" x14ac:dyDescent="0.2">
      <c r="A79" s="921" t="s">
        <v>50</v>
      </c>
      <c r="B79" s="922"/>
      <c r="C79" s="297"/>
      <c r="D79" s="297"/>
      <c r="E79" s="297"/>
      <c r="F79" s="297"/>
      <c r="G79" s="297"/>
      <c r="H79" s="297"/>
      <c r="I79" s="370" t="str">
        <f>IF(SUM(C77:H77)&gt;0,"Selbständigkeit:"," ")</f>
        <v xml:space="preserve"> </v>
      </c>
      <c r="J79" s="1049"/>
    </row>
    <row r="80" spans="1:10" x14ac:dyDescent="0.2">
      <c r="A80" s="923" t="s">
        <v>51</v>
      </c>
      <c r="B80" s="924"/>
      <c r="C80" s="298"/>
      <c r="D80" s="298"/>
      <c r="E80" s="298"/>
      <c r="F80" s="298"/>
      <c r="G80" s="298"/>
      <c r="H80" s="298"/>
      <c r="I80" s="1054" t="str">
        <f>IF(SUM(C77:H77)&gt;0,"Format: MM/JJ"," ")</f>
        <v xml:space="preserve"> </v>
      </c>
      <c r="J80" s="1055"/>
    </row>
    <row r="81" spans="1:10" x14ac:dyDescent="0.2">
      <c r="A81" s="925" t="s">
        <v>52</v>
      </c>
      <c r="B81" s="925"/>
      <c r="C81" s="371"/>
      <c r="D81" s="371"/>
      <c r="E81" s="371"/>
      <c r="F81" s="371"/>
      <c r="G81" s="371"/>
      <c r="H81" s="371"/>
      <c r="I81" s="198" t="e">
        <f>IF(J76&lt;MEG!C6,6,DATEDIF(J76,MEG!E6,"m")+1)</f>
        <v>#NUM!</v>
      </c>
      <c r="J81" s="199" t="e">
        <f>IF(J78=ISBLANK(0),I81,IF(J76=ISBLANK(0),I82,DATEDIF(I84,J84,"m")+1))</f>
        <v>#NUM!</v>
      </c>
    </row>
    <row r="82" spans="1:10" x14ac:dyDescent="0.2">
      <c r="A82" s="1056" t="s">
        <v>54</v>
      </c>
      <c r="B82" s="1056"/>
      <c r="C82" s="413"/>
      <c r="D82" s="413"/>
      <c r="E82" s="413"/>
      <c r="F82" s="413"/>
      <c r="G82" s="413"/>
      <c r="H82" s="413"/>
      <c r="I82" s="198" t="e">
        <f>IF(J78&lt;MEG!C6,6,DATEDIF(MEG!C6,J78,"m")+1)</f>
        <v>#NUM!</v>
      </c>
      <c r="J82" s="199"/>
    </row>
    <row r="83" spans="1:10" x14ac:dyDescent="0.2">
      <c r="A83" s="1057"/>
      <c r="B83" s="1057"/>
      <c r="C83" s="126" t="s">
        <v>48</v>
      </c>
      <c r="D83" s="83">
        <f>SUM(C81:H82)</f>
        <v>0</v>
      </c>
      <c r="E83" s="81" t="s">
        <v>49</v>
      </c>
      <c r="F83" s="83" t="e">
        <f>ROUND((D83/J81),2)</f>
        <v>#NUM!</v>
      </c>
      <c r="G83" s="90" t="s">
        <v>53</v>
      </c>
      <c r="H83" s="91" t="e">
        <f>IF((H78-F83)&lt;0,0,(H78-F83))</f>
        <v>#NUM!</v>
      </c>
      <c r="I83" s="81"/>
      <c r="J83" s="81"/>
    </row>
    <row r="84" spans="1:10" x14ac:dyDescent="0.2">
      <c r="A84" s="239"/>
      <c r="B84" s="292"/>
      <c r="C84" s="373"/>
      <c r="D84" s="373"/>
      <c r="E84" s="373"/>
      <c r="F84" s="373"/>
      <c r="G84" s="373"/>
      <c r="H84" s="374"/>
      <c r="I84" s="179" t="e">
        <f>IF(J76&lt;MEG!C6,MEG!C6,J76)</f>
        <v>#NUM!</v>
      </c>
      <c r="J84" s="179" t="e">
        <f>IF(J78&gt;MEG!E6,MEG!E6,J78)</f>
        <v>#NUM!</v>
      </c>
    </row>
    <row r="85" spans="1:10" x14ac:dyDescent="0.2">
      <c r="A85" s="925" t="s">
        <v>54</v>
      </c>
      <c r="B85" s="925"/>
      <c r="C85" s="302">
        <f t="shared" ref="C85:H85" si="13">SUM(C88,(C86*ROUND(C87,0)*0.2))</f>
        <v>0</v>
      </c>
      <c r="D85" s="302">
        <f t="shared" si="13"/>
        <v>0</v>
      </c>
      <c r="E85" s="302">
        <f t="shared" si="13"/>
        <v>0</v>
      </c>
      <c r="F85" s="302">
        <f t="shared" si="13"/>
        <v>0</v>
      </c>
      <c r="G85" s="302">
        <f t="shared" si="13"/>
        <v>0</v>
      </c>
      <c r="H85" s="302">
        <f t="shared" si="13"/>
        <v>0</v>
      </c>
      <c r="I85" s="203" t="e">
        <f>I84</f>
        <v>#NUM!</v>
      </c>
      <c r="J85" s="179" t="e">
        <f>IF(J78=ISBLANK(0),H73+1,J78)</f>
        <v>#NUM!</v>
      </c>
    </row>
    <row r="86" spans="1:10" x14ac:dyDescent="0.2">
      <c r="A86" s="927" t="s">
        <v>234</v>
      </c>
      <c r="B86" s="928"/>
      <c r="C86" s="375"/>
      <c r="D86" s="375"/>
      <c r="E86" s="375"/>
      <c r="F86" s="375"/>
      <c r="G86" s="375"/>
      <c r="H86" s="375"/>
      <c r="I86" s="202" t="e">
        <f>IF(I84&gt;C73,0,IF(J85&lt;C73,0,H83))</f>
        <v>#NUM!</v>
      </c>
      <c r="J86" s="81"/>
    </row>
    <row r="87" spans="1:10" x14ac:dyDescent="0.2">
      <c r="A87" s="927" t="s">
        <v>235</v>
      </c>
      <c r="B87" s="928"/>
      <c r="C87" s="375"/>
      <c r="D87" s="375"/>
      <c r="E87" s="375"/>
      <c r="F87" s="375"/>
      <c r="G87" s="375"/>
      <c r="H87" s="375"/>
      <c r="I87" s="202" t="e">
        <f>IF(I84&gt;D73,0,IF(J85&lt;D73,0,H83))</f>
        <v>#NUM!</v>
      </c>
      <c r="J87" s="81"/>
    </row>
    <row r="88" spans="1:10" x14ac:dyDescent="0.2">
      <c r="A88" s="929" t="s">
        <v>237</v>
      </c>
      <c r="B88" s="930"/>
      <c r="C88" s="372"/>
      <c r="D88" s="372"/>
      <c r="E88" s="372"/>
      <c r="F88" s="372"/>
      <c r="G88" s="372"/>
      <c r="H88" s="372"/>
      <c r="I88" s="202" t="e">
        <f>IF(I84&gt;E73,0,IF(J85&lt;E73,0,H83))</f>
        <v>#NUM!</v>
      </c>
      <c r="J88" s="81"/>
    </row>
    <row r="89" spans="1:10" x14ac:dyDescent="0.2">
      <c r="A89" s="926" t="s">
        <v>55</v>
      </c>
      <c r="B89" s="926"/>
      <c r="C89" s="305">
        <f t="shared" ref="C89:H89" si="14">C90*C91</f>
        <v>0</v>
      </c>
      <c r="D89" s="305">
        <f t="shared" si="14"/>
        <v>0</v>
      </c>
      <c r="E89" s="305">
        <f t="shared" si="14"/>
        <v>0</v>
      </c>
      <c r="F89" s="305">
        <f t="shared" si="14"/>
        <v>0</v>
      </c>
      <c r="G89" s="305">
        <f t="shared" si="14"/>
        <v>0</v>
      </c>
      <c r="H89" s="305">
        <f t="shared" si="14"/>
        <v>0</v>
      </c>
      <c r="I89" s="202" t="e">
        <f>IF(I84&gt;F73,0,IF(J85&lt;F73,0,H83))</f>
        <v>#NUM!</v>
      </c>
      <c r="J89" s="83"/>
    </row>
    <row r="90" spans="1:10" x14ac:dyDescent="0.2">
      <c r="A90" s="898" t="s">
        <v>238</v>
      </c>
      <c r="B90" s="899"/>
      <c r="C90" s="375"/>
      <c r="D90" s="375"/>
      <c r="E90" s="375"/>
      <c r="F90" s="375"/>
      <c r="G90" s="375"/>
      <c r="H90" s="375"/>
      <c r="I90" s="202" t="e">
        <f>IF(I84&gt;G73,0,IF(J85&lt;G73,0,H83))</f>
        <v>#NUM!</v>
      </c>
      <c r="J90" s="81"/>
    </row>
    <row r="91" spans="1:10" x14ac:dyDescent="0.2">
      <c r="A91" s="942" t="s">
        <v>239</v>
      </c>
      <c r="B91" s="943"/>
      <c r="C91" s="376"/>
      <c r="D91" s="376"/>
      <c r="E91" s="376"/>
      <c r="F91" s="376"/>
      <c r="G91" s="376"/>
      <c r="H91" s="376"/>
      <c r="I91" s="202" t="e">
        <f>IF(I84&gt;H73,0,IF(J85&lt;H73,0,H83))</f>
        <v>#NUM!</v>
      </c>
      <c r="J91" s="81"/>
    </row>
    <row r="92" spans="1:10" x14ac:dyDescent="0.2">
      <c r="A92" s="937" t="s">
        <v>236</v>
      </c>
      <c r="B92" s="938"/>
      <c r="C92" s="307"/>
      <c r="D92" s="307"/>
      <c r="E92" s="307"/>
      <c r="F92" s="307"/>
      <c r="G92" s="307"/>
      <c r="H92" s="307"/>
      <c r="I92" s="356"/>
      <c r="J92" s="83"/>
    </row>
    <row r="93" spans="1:10" x14ac:dyDescent="0.2">
      <c r="A93" s="903" t="s">
        <v>56</v>
      </c>
      <c r="B93" s="903"/>
      <c r="C93" s="307"/>
      <c r="D93" s="307"/>
      <c r="E93" s="307"/>
      <c r="F93" s="307"/>
      <c r="G93" s="307"/>
      <c r="H93" s="307"/>
      <c r="I93" s="311"/>
      <c r="J93" s="294"/>
    </row>
    <row r="94" spans="1:10" x14ac:dyDescent="0.2">
      <c r="A94" s="903" t="s">
        <v>57</v>
      </c>
      <c r="B94" s="903"/>
      <c r="C94" s="307"/>
      <c r="D94" s="307"/>
      <c r="E94" s="307"/>
      <c r="F94" s="307"/>
      <c r="G94" s="307"/>
      <c r="H94" s="307"/>
      <c r="I94" s="311"/>
      <c r="J94" s="294"/>
    </row>
    <row r="95" spans="1:10" x14ac:dyDescent="0.2">
      <c r="A95" s="903" t="s">
        <v>58</v>
      </c>
      <c r="B95" s="903"/>
      <c r="C95" s="308"/>
      <c r="D95" s="308"/>
      <c r="E95" s="308"/>
      <c r="F95" s="308"/>
      <c r="G95" s="308"/>
      <c r="H95" s="308"/>
      <c r="I95" s="311"/>
      <c r="J95" s="294"/>
    </row>
    <row r="96" spans="1:10" x14ac:dyDescent="0.2">
      <c r="A96" s="239"/>
      <c r="B96" s="239"/>
      <c r="C96" s="93" t="e">
        <f>C75+I86</f>
        <v>#NUM!</v>
      </c>
      <c r="D96" s="93" t="e">
        <f>D75+I87</f>
        <v>#NUM!</v>
      </c>
      <c r="E96" s="93" t="e">
        <f>E75+I88</f>
        <v>#NUM!</v>
      </c>
      <c r="F96" s="93" t="e">
        <f>F75+I89</f>
        <v>#NUM!</v>
      </c>
      <c r="G96" s="93" t="e">
        <f>G75+I90</f>
        <v>#NUM!</v>
      </c>
      <c r="H96" s="93" t="e">
        <f>H75+I91</f>
        <v>#NUM!</v>
      </c>
      <c r="I96" s="239"/>
      <c r="J96" s="239"/>
    </row>
    <row r="97" spans="1:10" x14ac:dyDescent="0.2">
      <c r="A97" s="903" t="s">
        <v>59</v>
      </c>
      <c r="B97" s="903"/>
      <c r="C97" s="287" t="e">
        <f>IF(C74="ja",Grundfreibeträge!G74,Grundfreibeträge!F74)</f>
        <v>#NUM!</v>
      </c>
      <c r="D97" s="287" t="e">
        <f>IF(D74="ja",Grundfreibeträge!G75,Grundfreibeträge!F75)</f>
        <v>#NUM!</v>
      </c>
      <c r="E97" s="287" t="e">
        <f>IF(E74="ja",Grundfreibeträge!G76,Grundfreibeträge!F76)</f>
        <v>#NUM!</v>
      </c>
      <c r="F97" s="287" t="e">
        <f>IF(F74="ja",Grundfreibeträge!G77,Grundfreibeträge!F77)</f>
        <v>#NUM!</v>
      </c>
      <c r="G97" s="287" t="e">
        <f>IF(G74="ja",Grundfreibeträge!G78,Grundfreibeträge!F78)</f>
        <v>#NUM!</v>
      </c>
      <c r="H97" s="287" t="e">
        <f>IF(H74="ja",Grundfreibeträge!G79,Grundfreibeträge!F79)</f>
        <v>#NUM!</v>
      </c>
      <c r="I97" s="239"/>
      <c r="J97" s="239"/>
    </row>
    <row r="98" spans="1:10" x14ac:dyDescent="0.2">
      <c r="A98" s="937" t="s">
        <v>597</v>
      </c>
      <c r="B98" s="938"/>
      <c r="C98" s="287" t="e">
        <f>MAX((MIN(C96,520)-C97)*0.2,0)</f>
        <v>#NUM!</v>
      </c>
      <c r="D98" s="287" t="e">
        <f t="shared" ref="D98:H98" si="15">MAX((MIN(D96,520)-D97)*0.2,0)</f>
        <v>#NUM!</v>
      </c>
      <c r="E98" s="287" t="e">
        <f t="shared" si="15"/>
        <v>#NUM!</v>
      </c>
      <c r="F98" s="287" t="e">
        <f t="shared" si="15"/>
        <v>#NUM!</v>
      </c>
      <c r="G98" s="287" t="e">
        <f t="shared" si="15"/>
        <v>#NUM!</v>
      </c>
      <c r="H98" s="287" t="e">
        <f t="shared" si="15"/>
        <v>#NUM!</v>
      </c>
      <c r="I98" s="778"/>
      <c r="J98" s="778"/>
    </row>
    <row r="99" spans="1:10" x14ac:dyDescent="0.2">
      <c r="A99" s="903" t="s">
        <v>60</v>
      </c>
      <c r="B99" s="903"/>
      <c r="C99" s="287" t="e">
        <f>MAX(MIN(C96-520,480)*0.3,0)</f>
        <v>#NUM!</v>
      </c>
      <c r="D99" s="287" t="e">
        <f t="shared" ref="D99:H99" si="16">MAX(MIN(D96-520,480)*0.3,0)</f>
        <v>#NUM!</v>
      </c>
      <c r="E99" s="287" t="e">
        <f t="shared" si="16"/>
        <v>#NUM!</v>
      </c>
      <c r="F99" s="287" t="e">
        <f t="shared" si="16"/>
        <v>#NUM!</v>
      </c>
      <c r="G99" s="287" t="e">
        <f t="shared" si="16"/>
        <v>#NUM!</v>
      </c>
      <c r="H99" s="287" t="e">
        <f t="shared" si="16"/>
        <v>#NUM!</v>
      </c>
      <c r="I99" s="239"/>
      <c r="J99" s="239"/>
    </row>
    <row r="100" spans="1:10" x14ac:dyDescent="0.2">
      <c r="A100" s="903" t="s">
        <v>61</v>
      </c>
      <c r="B100" s="903"/>
      <c r="C100" s="287" t="e">
        <f>IF(Grundfreibeträge!Q6="Kind ü18",Grundfreibeträge!H74,IF(C96&lt;1000,0,IF(C96&gt;=1500,50,ROUND((C96-1000)*10%,2))))</f>
        <v>#NUM!</v>
      </c>
      <c r="D100" s="287" t="e">
        <f>IF(Grundfreibeträge!Q6="Kind ü18",Grundfreibeträge!H75,IF(D96&lt;1000,0,IF(D96&gt;=1500,50,ROUND((D96-1000)*10%,2))))</f>
        <v>#NUM!</v>
      </c>
      <c r="E100" s="287" t="e">
        <f>IF(Grundfreibeträge!Q6="Kind ü18",Grundfreibeträge!H76,IF(E96&lt;1000,0,IF(E96&gt;=1500,50,ROUND((E96-1000)*10%,2))))</f>
        <v>#NUM!</v>
      </c>
      <c r="F100" s="287" t="e">
        <f>IF(Grundfreibeträge!Q6="Kind ü18",Grundfreibeträge!H77,IF(F96&lt;1000,0,IF(F96&gt;=1500,50,ROUND((F96-1000)*10%,2))))</f>
        <v>#NUM!</v>
      </c>
      <c r="G100" s="287" t="e">
        <f>IF(Grundfreibeträge!Q6="Kind ü18",Grundfreibeträge!H78,IF(G96&lt;1000,0,IF(G96&gt;=1500,50,ROUND((G96-1000)*10%,2))))</f>
        <v>#NUM!</v>
      </c>
      <c r="H100" s="287" t="e">
        <f>IF(Grundfreibeträge!Q6="Kind ü18",Grundfreibeträge!H79,IF(H96&lt;1000,0,IF(H96&gt;=1500,50,ROUND((H96-1000)*10%,2))))</f>
        <v>#NUM!</v>
      </c>
      <c r="I100" s="288" t="s">
        <v>48</v>
      </c>
      <c r="J100" s="239"/>
    </row>
    <row r="101" spans="1:10" x14ac:dyDescent="0.2">
      <c r="A101" s="903" t="s">
        <v>62</v>
      </c>
      <c r="B101" s="903"/>
      <c r="C101" s="287" t="e">
        <f>IF(C96=0,0,MAX(C96-C79-C97-C98-C99-C100,0))</f>
        <v>#NUM!</v>
      </c>
      <c r="D101" s="287" t="e">
        <f t="shared" ref="D101:H101" si="17">IF(D96=0,0,MAX(D96-D79-D97-D98-D99-D100,0))</f>
        <v>#NUM!</v>
      </c>
      <c r="E101" s="287" t="e">
        <f t="shared" si="17"/>
        <v>#NUM!</v>
      </c>
      <c r="F101" s="287" t="e">
        <f t="shared" si="17"/>
        <v>#NUM!</v>
      </c>
      <c r="G101" s="287" t="e">
        <f t="shared" si="17"/>
        <v>#NUM!</v>
      </c>
      <c r="H101" s="287" t="e">
        <f t="shared" si="17"/>
        <v>#NUM!</v>
      </c>
      <c r="I101" s="287" t="e">
        <f>SUM(C101:H101)</f>
        <v>#NUM!</v>
      </c>
      <c r="J101" s="239"/>
    </row>
    <row r="102" spans="1:10" x14ac:dyDescent="0.2">
      <c r="A102" s="239"/>
      <c r="B102" s="312"/>
      <c r="C102" s="83" t="e">
        <f>C75+C76+I86</f>
        <v>#NUM!</v>
      </c>
      <c r="D102" s="83" t="e">
        <f>D75+D76+I87</f>
        <v>#NUM!</v>
      </c>
      <c r="E102" s="83" t="e">
        <f>E75+E76+I88</f>
        <v>#NUM!</v>
      </c>
      <c r="F102" s="83" t="e">
        <f>F75+F76+I89</f>
        <v>#NUM!</v>
      </c>
      <c r="G102" s="83" t="e">
        <f>G75+G76+I90</f>
        <v>#NUM!</v>
      </c>
      <c r="H102" s="83" t="e">
        <f>H75+H76+I91</f>
        <v>#NUM!</v>
      </c>
      <c r="I102" s="294"/>
      <c r="J102" s="239"/>
    </row>
    <row r="103" spans="1:10" ht="15" x14ac:dyDescent="0.25">
      <c r="A103" s="239"/>
      <c r="B103" s="239"/>
      <c r="C103" s="83" t="e">
        <f t="shared" ref="C103:H103" si="18">IF(C102=0,0,IF(C102&lt;=100,0,IF(C102&lt;=1000,(C102-100)*20%,IF(C102&gt;1000,180))))</f>
        <v>#NUM!</v>
      </c>
      <c r="D103" s="83" t="e">
        <f t="shared" si="18"/>
        <v>#NUM!</v>
      </c>
      <c r="E103" s="83" t="e">
        <f t="shared" si="18"/>
        <v>#NUM!</v>
      </c>
      <c r="F103" s="83" t="e">
        <f t="shared" si="18"/>
        <v>#NUM!</v>
      </c>
      <c r="G103" s="83" t="e">
        <f t="shared" si="18"/>
        <v>#NUM!</v>
      </c>
      <c r="H103" s="83" t="e">
        <f t="shared" si="18"/>
        <v>#NUM!</v>
      </c>
      <c r="I103" s="313"/>
      <c r="J103" s="239"/>
    </row>
    <row r="104" spans="1:10" ht="15" x14ac:dyDescent="0.25">
      <c r="A104" s="909" t="s">
        <v>63</v>
      </c>
      <c r="B104" s="909"/>
      <c r="C104" s="97" t="e">
        <f t="shared" ref="C104:H104" si="19">IF(C102&lt;1000,0,IF(C102&gt;=1500,50,ROUND((C102-1000)*10%,2)))</f>
        <v>#NUM!</v>
      </c>
      <c r="D104" s="97" t="e">
        <f t="shared" si="19"/>
        <v>#NUM!</v>
      </c>
      <c r="E104" s="97" t="e">
        <f t="shared" si="19"/>
        <v>#NUM!</v>
      </c>
      <c r="F104" s="97" t="e">
        <f t="shared" si="19"/>
        <v>#NUM!</v>
      </c>
      <c r="G104" s="97" t="e">
        <f t="shared" si="19"/>
        <v>#NUM!</v>
      </c>
      <c r="H104" s="97" t="e">
        <f t="shared" si="19"/>
        <v>#NUM!</v>
      </c>
      <c r="I104" s="313"/>
      <c r="J104" s="239"/>
    </row>
    <row r="105" spans="1:10" x14ac:dyDescent="0.2">
      <c r="A105" s="908" t="s">
        <v>64</v>
      </c>
      <c r="B105" s="908"/>
      <c r="C105" s="296">
        <f t="shared" ref="C105:H105" si="20">IF(C76=0,0,(C103+C104)-(C99+C100))</f>
        <v>0</v>
      </c>
      <c r="D105" s="296">
        <f t="shared" si="20"/>
        <v>0</v>
      </c>
      <c r="E105" s="296">
        <f t="shared" si="20"/>
        <v>0</v>
      </c>
      <c r="F105" s="296">
        <f t="shared" si="20"/>
        <v>0</v>
      </c>
      <c r="G105" s="296">
        <f t="shared" si="20"/>
        <v>0</v>
      </c>
      <c r="H105" s="296">
        <f t="shared" si="20"/>
        <v>0</v>
      </c>
      <c r="I105" s="314" t="s">
        <v>48</v>
      </c>
      <c r="J105" s="239"/>
    </row>
    <row r="106" spans="1:10" x14ac:dyDescent="0.2">
      <c r="A106" s="810" t="s">
        <v>65</v>
      </c>
      <c r="B106" s="810"/>
      <c r="C106" s="287">
        <f t="shared" ref="C106:H106" si="21">IF(C76=0,0,IF(AND(C76&gt;0,C96&gt;0),C76-C80-C105,IF(C76-C80-C105-C97&lt;0,0,C76-C80-C105-C97)))</f>
        <v>0</v>
      </c>
      <c r="D106" s="287">
        <f t="shared" si="21"/>
        <v>0</v>
      </c>
      <c r="E106" s="287">
        <f t="shared" si="21"/>
        <v>0</v>
      </c>
      <c r="F106" s="287">
        <f t="shared" si="21"/>
        <v>0</v>
      </c>
      <c r="G106" s="287">
        <f t="shared" si="21"/>
        <v>0</v>
      </c>
      <c r="H106" s="287">
        <f t="shared" si="21"/>
        <v>0</v>
      </c>
      <c r="I106" s="287">
        <f>SUM(C106:H106)</f>
        <v>0</v>
      </c>
      <c r="J106" s="239"/>
    </row>
    <row r="107" spans="1:10" x14ac:dyDescent="0.2">
      <c r="A107" s="239"/>
      <c r="B107" s="239"/>
      <c r="C107" s="239"/>
      <c r="D107" s="239"/>
      <c r="E107" s="239"/>
      <c r="F107" s="239"/>
      <c r="G107" s="239"/>
      <c r="H107" s="239"/>
      <c r="I107" s="239"/>
      <c r="J107" s="239"/>
    </row>
    <row r="108" spans="1:10" x14ac:dyDescent="0.2">
      <c r="A108" s="239"/>
      <c r="B108" s="239"/>
      <c r="C108" s="239"/>
      <c r="D108" s="239"/>
      <c r="E108" s="239"/>
      <c r="F108" s="239"/>
      <c r="G108" s="239"/>
      <c r="H108" s="239"/>
      <c r="I108" s="239"/>
      <c r="J108" s="239"/>
    </row>
    <row r="109" spans="1:10" x14ac:dyDescent="0.2">
      <c r="A109" s="239"/>
      <c r="B109" s="239"/>
      <c r="C109" s="239"/>
      <c r="D109" s="239"/>
      <c r="E109" s="239"/>
      <c r="F109" s="239"/>
      <c r="G109" s="239"/>
      <c r="H109" s="239"/>
      <c r="I109" s="239"/>
      <c r="J109" s="239"/>
    </row>
    <row r="110" spans="1:10" ht="15" x14ac:dyDescent="0.25">
      <c r="A110" s="239"/>
      <c r="B110" s="944" t="s">
        <v>80</v>
      </c>
      <c r="C110" s="945"/>
      <c r="D110" s="946"/>
      <c r="E110" s="350" t="s">
        <v>48</v>
      </c>
      <c r="F110" s="377" t="s">
        <v>49</v>
      </c>
      <c r="G110" s="239"/>
      <c r="H110" s="239"/>
      <c r="I110" s="239"/>
      <c r="J110" s="239"/>
    </row>
    <row r="111" spans="1:10" x14ac:dyDescent="0.2">
      <c r="A111" s="239"/>
      <c r="B111" s="947" t="s">
        <v>81</v>
      </c>
      <c r="C111" s="948"/>
      <c r="D111" s="949"/>
      <c r="E111" s="352" t="e">
        <f>I101+I106</f>
        <v>#NUM!</v>
      </c>
      <c r="F111" s="352" t="e">
        <f>E111/6</f>
        <v>#NUM!</v>
      </c>
      <c r="G111" s="239"/>
      <c r="H111" s="239"/>
      <c r="I111" s="239"/>
      <c r="J111" s="239"/>
    </row>
    <row r="112" spans="1:10" x14ac:dyDescent="0.2">
      <c r="A112" s="239"/>
      <c r="B112" s="947" t="s">
        <v>82</v>
      </c>
      <c r="C112" s="948"/>
      <c r="D112" s="949"/>
      <c r="E112" s="352">
        <f>I64</f>
        <v>0</v>
      </c>
      <c r="F112" s="352">
        <f>E112/6</f>
        <v>0</v>
      </c>
      <c r="G112" s="239"/>
      <c r="H112" s="239"/>
      <c r="I112" s="239"/>
      <c r="J112" s="239"/>
    </row>
    <row r="113" spans="1:10" ht="15" x14ac:dyDescent="0.25">
      <c r="A113" s="239"/>
      <c r="B113" s="239"/>
      <c r="C113" s="239"/>
      <c r="D113" s="239"/>
      <c r="E113" s="378" t="s">
        <v>84</v>
      </c>
      <c r="F113" s="353" t="e">
        <f>F111+F112</f>
        <v>#NUM!</v>
      </c>
      <c r="G113" s="239"/>
      <c r="H113" s="239"/>
      <c r="I113" s="239"/>
      <c r="J113" s="239"/>
    </row>
    <row r="114" spans="1:10" x14ac:dyDescent="0.2">
      <c r="A114" s="239"/>
      <c r="B114" s="239"/>
      <c r="C114" s="239"/>
      <c r="D114" s="239"/>
      <c r="E114" s="239"/>
      <c r="F114" s="239"/>
      <c r="G114" s="239"/>
      <c r="H114" s="239"/>
      <c r="I114" s="239"/>
      <c r="J114" s="239"/>
    </row>
    <row r="115" spans="1:10" x14ac:dyDescent="0.2">
      <c r="A115" s="239"/>
      <c r="B115" s="239"/>
      <c r="C115" s="239"/>
      <c r="D115" s="239"/>
      <c r="E115" s="239"/>
      <c r="F115" s="239"/>
      <c r="G115" s="239"/>
      <c r="H115" s="239"/>
      <c r="I115" s="239"/>
      <c r="J115" s="239"/>
    </row>
    <row r="116" spans="1:10" x14ac:dyDescent="0.2">
      <c r="A116" s="239"/>
      <c r="B116" s="239"/>
      <c r="C116" s="239"/>
      <c r="D116" s="239"/>
      <c r="E116" s="239"/>
      <c r="F116" s="239"/>
      <c r="G116" s="239"/>
      <c r="H116" s="239"/>
      <c r="I116" s="239"/>
      <c r="J116" s="239"/>
    </row>
    <row r="117" spans="1:10" x14ac:dyDescent="0.2">
      <c r="A117" s="239"/>
      <c r="B117" s="239"/>
      <c r="C117" s="239"/>
      <c r="D117" s="239"/>
      <c r="E117" s="239"/>
      <c r="F117" s="239"/>
      <c r="G117" s="239"/>
      <c r="H117" s="239"/>
      <c r="I117" s="239"/>
      <c r="J117" s="239"/>
    </row>
    <row r="118" spans="1:10" x14ac:dyDescent="0.2">
      <c r="A118" s="239"/>
      <c r="B118" s="239"/>
      <c r="C118" s="239"/>
      <c r="D118" s="239"/>
      <c r="E118" s="239"/>
      <c r="F118" s="239"/>
      <c r="G118" s="239"/>
      <c r="H118" s="239"/>
      <c r="I118" s="239"/>
      <c r="J118" s="239"/>
    </row>
    <row r="119" spans="1:10" x14ac:dyDescent="0.2">
      <c r="A119" s="239"/>
      <c r="B119" s="239"/>
      <c r="C119" s="239"/>
      <c r="D119" s="239"/>
      <c r="E119" s="239"/>
      <c r="F119" s="1058" t="s">
        <v>85</v>
      </c>
      <c r="G119" s="1058"/>
      <c r="H119" s="379"/>
      <c r="I119" s="239"/>
      <c r="J119" s="239"/>
    </row>
    <row r="120" spans="1:10" x14ac:dyDescent="0.2">
      <c r="A120" s="239"/>
      <c r="B120" s="239"/>
      <c r="C120" s="239"/>
      <c r="D120" s="239"/>
      <c r="E120" s="239"/>
      <c r="F120" s="1059" t="s">
        <v>86</v>
      </c>
      <c r="G120" s="1059"/>
      <c r="H120" s="380"/>
      <c r="I120" s="239"/>
      <c r="J120" s="239"/>
    </row>
    <row r="121" spans="1:10" ht="15" x14ac:dyDescent="0.25">
      <c r="A121" s="239"/>
      <c r="B121" s="239"/>
      <c r="C121" s="239"/>
      <c r="D121" s="239"/>
      <c r="E121" s="239"/>
      <c r="F121" s="1060" t="s">
        <v>87</v>
      </c>
      <c r="G121" s="1060"/>
      <c r="H121" s="381" t="e">
        <f>IF(Kurzantrag!C22&gt;0,Kurzantrag!C22,ROUND(F113*45%,2))</f>
        <v>#NUM!</v>
      </c>
      <c r="I121" s="239"/>
      <c r="J121" s="239"/>
    </row>
    <row r="122" spans="1:10" x14ac:dyDescent="0.2">
      <c r="A122" s="239"/>
      <c r="B122" s="239"/>
      <c r="C122" s="239"/>
      <c r="D122" s="239"/>
      <c r="E122" s="239"/>
      <c r="F122" s="239"/>
      <c r="G122" s="239"/>
      <c r="H122" s="239"/>
      <c r="I122" s="239"/>
      <c r="J122" s="239"/>
    </row>
    <row r="123" spans="1:10" x14ac:dyDescent="0.2">
      <c r="A123" s="322"/>
      <c r="B123" s="322"/>
      <c r="C123" s="322"/>
      <c r="D123" s="322"/>
      <c r="E123" s="322"/>
      <c r="F123" s="322"/>
      <c r="G123" s="322"/>
      <c r="H123" s="322"/>
      <c r="I123" s="322"/>
      <c r="J123" s="322"/>
    </row>
    <row r="124" spans="1:10" x14ac:dyDescent="0.2">
      <c r="A124" s="239"/>
      <c r="B124" s="239"/>
      <c r="C124" s="239"/>
      <c r="D124" s="239"/>
      <c r="E124" s="239"/>
      <c r="F124" s="239"/>
      <c r="G124" s="239"/>
      <c r="H124" s="239"/>
      <c r="I124" s="239"/>
      <c r="J124" s="239"/>
    </row>
    <row r="125" spans="1:10" x14ac:dyDescent="0.2">
      <c r="A125" s="127"/>
      <c r="B125" s="127"/>
      <c r="C125" s="127"/>
      <c r="D125" s="127"/>
      <c r="E125" s="127"/>
      <c r="F125" s="127"/>
      <c r="G125" s="127"/>
      <c r="H125" s="127"/>
      <c r="I125" s="127"/>
      <c r="J125" s="127"/>
    </row>
    <row r="126" spans="1:10" x14ac:dyDescent="0.2">
      <c r="A126" s="2"/>
      <c r="B126" s="2"/>
      <c r="C126" s="2"/>
      <c r="D126" s="2"/>
      <c r="E126" s="2"/>
      <c r="F126" s="2"/>
      <c r="G126" s="2"/>
      <c r="H126" s="2"/>
      <c r="I126" s="2"/>
      <c r="J126" s="2"/>
    </row>
    <row r="127" spans="1:10" x14ac:dyDescent="0.2">
      <c r="A127" s="2"/>
      <c r="B127" s="2"/>
      <c r="C127" s="2"/>
      <c r="D127" s="2"/>
      <c r="E127" s="2"/>
      <c r="F127" s="2"/>
      <c r="G127" s="2"/>
      <c r="H127" s="2"/>
      <c r="I127" s="2"/>
      <c r="J127" s="2"/>
    </row>
    <row r="128" spans="1:10" x14ac:dyDescent="0.2">
      <c r="A128" s="2"/>
      <c r="B128" s="2"/>
      <c r="C128" s="2"/>
      <c r="D128" s="2"/>
      <c r="E128" s="2"/>
      <c r="F128" s="2"/>
      <c r="G128" s="2"/>
      <c r="H128" s="2"/>
      <c r="I128" s="2"/>
      <c r="J128" s="2"/>
    </row>
    <row r="129" spans="1:10" x14ac:dyDescent="0.2">
      <c r="A129" s="2"/>
      <c r="B129" s="2"/>
      <c r="C129" s="2"/>
      <c r="D129" s="2"/>
      <c r="E129" s="2"/>
      <c r="F129" s="2"/>
      <c r="G129" s="2"/>
      <c r="H129" s="2"/>
      <c r="I129" s="2"/>
      <c r="J129" s="2"/>
    </row>
    <row r="130" spans="1:10" x14ac:dyDescent="0.2">
      <c r="A130" s="2"/>
      <c r="B130" s="2"/>
      <c r="C130" s="2"/>
      <c r="D130" s="2"/>
      <c r="E130" s="2"/>
      <c r="F130" s="2"/>
      <c r="G130" s="2"/>
      <c r="H130" s="2"/>
      <c r="I130" s="2"/>
      <c r="J130" s="2"/>
    </row>
    <row r="131" spans="1:10" x14ac:dyDescent="0.2">
      <c r="A131" s="2"/>
      <c r="B131" s="2"/>
      <c r="C131" s="2"/>
      <c r="D131" s="2"/>
      <c r="E131" s="2"/>
      <c r="F131" s="2"/>
      <c r="G131" s="2"/>
      <c r="H131" s="2"/>
      <c r="I131" s="2"/>
      <c r="J131" s="2"/>
    </row>
    <row r="132" spans="1:10" x14ac:dyDescent="0.2">
      <c r="A132" s="2"/>
      <c r="B132" s="2"/>
      <c r="C132" s="2"/>
      <c r="D132" s="2"/>
      <c r="E132" s="2"/>
      <c r="F132" s="2"/>
      <c r="G132" s="2"/>
      <c r="H132" s="2"/>
      <c r="I132" s="2"/>
      <c r="J132" s="2"/>
    </row>
    <row r="133" spans="1:10" x14ac:dyDescent="0.2">
      <c r="A133" s="2"/>
      <c r="B133" s="2"/>
      <c r="C133" s="2"/>
      <c r="D133" s="2"/>
      <c r="E133" s="2"/>
      <c r="F133" s="2"/>
      <c r="G133" s="2"/>
      <c r="H133" s="2"/>
      <c r="I133" s="2"/>
      <c r="J133" s="2"/>
    </row>
    <row r="134" spans="1:10" x14ac:dyDescent="0.2">
      <c r="A134" s="2"/>
      <c r="B134" s="2"/>
      <c r="C134" s="2"/>
      <c r="D134" s="2"/>
      <c r="E134" s="2"/>
      <c r="F134" s="2"/>
      <c r="G134" s="2"/>
      <c r="H134" s="2"/>
      <c r="I134" s="2"/>
      <c r="J134" s="2"/>
    </row>
    <row r="135" spans="1:10" x14ac:dyDescent="0.2">
      <c r="A135" s="2"/>
      <c r="B135" s="2"/>
      <c r="C135" s="2"/>
      <c r="D135" s="2"/>
      <c r="E135" s="2"/>
      <c r="F135" s="2"/>
      <c r="G135" s="2"/>
      <c r="H135" s="2"/>
      <c r="I135" s="2"/>
      <c r="J135" s="2"/>
    </row>
    <row r="136" spans="1:10" x14ac:dyDescent="0.2">
      <c r="A136" s="2"/>
      <c r="B136" s="2"/>
      <c r="C136" s="2"/>
      <c r="D136" s="2"/>
      <c r="E136" s="2"/>
      <c r="F136" s="2"/>
      <c r="G136" s="2"/>
      <c r="H136" s="2"/>
      <c r="I136" s="2"/>
      <c r="J136" s="2"/>
    </row>
    <row r="137" spans="1:10" x14ac:dyDescent="0.2">
      <c r="A137" s="2"/>
      <c r="B137" s="2"/>
      <c r="C137" s="2"/>
      <c r="D137" s="2"/>
      <c r="E137" s="2"/>
      <c r="F137" s="2"/>
      <c r="G137" s="2"/>
      <c r="H137" s="2"/>
      <c r="I137" s="2"/>
      <c r="J137" s="2"/>
    </row>
  </sheetData>
  <sheetProtection algorithmName="SHA-512" hashValue="lOKtUS04yJmL3Ze0LSaP+7AKS9gDHKLtvgkaoaZtxqjLzVNALmHIfrCMo647+4sfxwolhqaxH0HZvwoVSLvjTg==" saltValue="dnzQpO3Y4UDcpOzOyZswYA==" spinCount="100000" sheet="1" formatCells="0" formatColumns="0" formatRows="0" insertColumns="0" insertRows="0" insertHyperlinks="0" deleteColumns="0" deleteRows="0" sort="0" autoFilter="0" pivotTables="0"/>
  <mergeCells count="84">
    <mergeCell ref="J76:J77"/>
    <mergeCell ref="J78:J79"/>
    <mergeCell ref="I80:J80"/>
    <mergeCell ref="F119:G119"/>
    <mergeCell ref="F120:G120"/>
    <mergeCell ref="F121:G121"/>
    <mergeCell ref="A104:B104"/>
    <mergeCell ref="A105:B105"/>
    <mergeCell ref="A106:B106"/>
    <mergeCell ref="B110:D110"/>
    <mergeCell ref="B111:D111"/>
    <mergeCell ref="B112:D112"/>
    <mergeCell ref="A101:B101"/>
    <mergeCell ref="A88:B88"/>
    <mergeCell ref="A89:B89"/>
    <mergeCell ref="A90:B90"/>
    <mergeCell ref="A91:B91"/>
    <mergeCell ref="A92:B92"/>
    <mergeCell ref="A93:B93"/>
    <mergeCell ref="A94:B94"/>
    <mergeCell ref="A95:B95"/>
    <mergeCell ref="A97:B97"/>
    <mergeCell ref="A99:B99"/>
    <mergeCell ref="A100:B100"/>
    <mergeCell ref="A98:B98"/>
    <mergeCell ref="A87:B87"/>
    <mergeCell ref="A74:B74"/>
    <mergeCell ref="A75:B75"/>
    <mergeCell ref="A76:B76"/>
    <mergeCell ref="A77:B77"/>
    <mergeCell ref="A79:B79"/>
    <mergeCell ref="A80:B80"/>
    <mergeCell ref="A81:B81"/>
    <mergeCell ref="A82:B82"/>
    <mergeCell ref="A83:B83"/>
    <mergeCell ref="A85:B85"/>
    <mergeCell ref="A86:B86"/>
    <mergeCell ref="A73:B73"/>
    <mergeCell ref="A49:B49"/>
    <mergeCell ref="A50:B50"/>
    <mergeCell ref="A51:B51"/>
    <mergeCell ref="A52:B52"/>
    <mergeCell ref="A53:B53"/>
    <mergeCell ref="A56:B56"/>
    <mergeCell ref="A57:B57"/>
    <mergeCell ref="A58:B58"/>
    <mergeCell ref="A59:B59"/>
    <mergeCell ref="A60:B60"/>
    <mergeCell ref="C72:H72"/>
    <mergeCell ref="A48:B48"/>
    <mergeCell ref="B32:C32"/>
    <mergeCell ref="A37:B37"/>
    <mergeCell ref="A38:B38"/>
    <mergeCell ref="A39:B39"/>
    <mergeCell ref="A41:B41"/>
    <mergeCell ref="A42:B42"/>
    <mergeCell ref="A43:B43"/>
    <mergeCell ref="A44:B44"/>
    <mergeCell ref="A45:B45"/>
    <mergeCell ref="A46:B46"/>
    <mergeCell ref="A47:B47"/>
    <mergeCell ref="B31:C31"/>
    <mergeCell ref="A16:B16"/>
    <mergeCell ref="A18:B18"/>
    <mergeCell ref="A20:B20"/>
    <mergeCell ref="A21:B21"/>
    <mergeCell ref="A22:B22"/>
    <mergeCell ref="A24:B24"/>
    <mergeCell ref="A25:B25"/>
    <mergeCell ref="A26:B26"/>
    <mergeCell ref="A27:B27"/>
    <mergeCell ref="B30:C30"/>
    <mergeCell ref="A15:B15"/>
    <mergeCell ref="C1:H1"/>
    <mergeCell ref="A3:B3"/>
    <mergeCell ref="A4:B4"/>
    <mergeCell ref="A5:B5"/>
    <mergeCell ref="A6:B6"/>
    <mergeCell ref="A8:B8"/>
    <mergeCell ref="A9:B9"/>
    <mergeCell ref="A10:B10"/>
    <mergeCell ref="A11:B11"/>
    <mergeCell ref="A13:B13"/>
    <mergeCell ref="A14:B14"/>
  </mergeCells>
  <dataValidations count="3">
    <dataValidation type="list" allowBlank="1" showInputMessage="1" showErrorMessage="1" sqref="C74:H74" xr:uid="{00000000-0002-0000-1000-000000000000}">
      <formula1>".,ja,nein"</formula1>
    </dataValidation>
    <dataValidation type="decimal" allowBlank="1" showInputMessage="1" showErrorMessage="1" error="Der eingegebene Wert ist unzulässig. Bitte geben Sie eine Zahl ein, die größer 0 ist." sqref="C3:H6 C8:H11 C13:H16 C24:H27 C18:H22 C38:H39 C41:H41 C43:H45 C47:H49 C52:H53 C57:H59 C75:H77 C79:H82 C86:H88 C90:H95" xr:uid="{00000000-0002-0000-1000-000001000000}">
      <formula1>0</formula1>
      <formula2>1000000</formula2>
    </dataValidation>
    <dataValidation allowBlank="1" showInputMessage="1" showErrorMessage="1" prompt="Bitte geben Sie das Datum im Format MM/JJ ein (z.B. 03/19)." sqref="J76:J79" xr:uid="{00000000-0002-0000-1000-000002000000}"/>
  </dataValidations>
  <pageMargins left="0.7" right="0.7" top="0.78740157499999996" bottom="0.78740157499999996" header="0.3" footer="0.3"/>
  <pageSetup paperSize="9" orientation="landscape" r:id="rId1"/>
  <headerFooter>
    <oddHeader>&amp;L&amp;"Arial,Fett"&amp;U4. Ermittlung des anzurechgnenden Einkommens des Kindes / der Kinder:
4.11. Einkommensermittlung Kind 11:
&amp;R&amp;D</oddHeader>
    <oddFooter>&amp;R&amp;P</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3"/>
  <dimension ref="A1:J136"/>
  <sheetViews>
    <sheetView showGridLines="0" zoomScaleNormal="100" workbookViewId="0">
      <selection activeCell="C18" sqref="C18"/>
    </sheetView>
  </sheetViews>
  <sheetFormatPr baseColWidth="10" defaultRowHeight="14.25" x14ac:dyDescent="0.2"/>
  <cols>
    <col min="1" max="16384" width="11" style="1"/>
  </cols>
  <sheetData>
    <row r="1" spans="1:10" ht="15" x14ac:dyDescent="0.25">
      <c r="A1" s="313"/>
      <c r="B1" s="240"/>
      <c r="C1" s="914" t="s">
        <v>251</v>
      </c>
      <c r="D1" s="914"/>
      <c r="E1" s="914"/>
      <c r="F1" s="914"/>
      <c r="G1" s="914"/>
      <c r="H1" s="914"/>
      <c r="I1" s="239"/>
      <c r="J1" s="239"/>
    </row>
    <row r="2" spans="1:10" ht="15" x14ac:dyDescent="0.25">
      <c r="A2" s="407" t="s">
        <v>29</v>
      </c>
      <c r="B2" s="408"/>
      <c r="C2" s="255" t="e">
        <f>EDATE(BG!D2,-6)</f>
        <v>#NUM!</v>
      </c>
      <c r="D2" s="255" t="e">
        <f>EDATE(BG!D2,-5)</f>
        <v>#NUM!</v>
      </c>
      <c r="E2" s="255" t="e">
        <f>EDATE(BG!D2,-4)</f>
        <v>#NUM!</v>
      </c>
      <c r="F2" s="255" t="e">
        <f>EDATE(BG!D2,-3)</f>
        <v>#NUM!</v>
      </c>
      <c r="G2" s="255" t="e">
        <f>EDATE(BG!D2,-2)</f>
        <v>#NUM!</v>
      </c>
      <c r="H2" s="255" t="e">
        <f>EDATE(BG!D2,-1)</f>
        <v>#NUM!</v>
      </c>
      <c r="I2" s="292"/>
      <c r="J2" s="292"/>
    </row>
    <row r="3" spans="1:10" x14ac:dyDescent="0.2">
      <c r="A3" s="892" t="s">
        <v>66</v>
      </c>
      <c r="B3" s="893"/>
      <c r="C3" s="297"/>
      <c r="D3" s="297"/>
      <c r="E3" s="297"/>
      <c r="F3" s="297"/>
      <c r="G3" s="297"/>
      <c r="H3" s="297"/>
      <c r="I3" s="294"/>
      <c r="J3" s="294"/>
    </row>
    <row r="4" spans="1:10" x14ac:dyDescent="0.2">
      <c r="A4" s="886" t="s">
        <v>38</v>
      </c>
      <c r="B4" s="887"/>
      <c r="C4" s="298"/>
      <c r="D4" s="298"/>
      <c r="E4" s="298"/>
      <c r="F4" s="298"/>
      <c r="G4" s="298"/>
      <c r="H4" s="298"/>
      <c r="I4" s="294"/>
      <c r="J4" s="294"/>
    </row>
    <row r="5" spans="1:10" x14ac:dyDescent="0.2">
      <c r="A5" s="888" t="s">
        <v>67</v>
      </c>
      <c r="B5" s="889"/>
      <c r="C5" s="317"/>
      <c r="D5" s="317"/>
      <c r="E5" s="317"/>
      <c r="F5" s="317"/>
      <c r="G5" s="317"/>
      <c r="H5" s="317"/>
      <c r="I5" s="294"/>
      <c r="J5" s="294"/>
    </row>
    <row r="6" spans="1:10" x14ac:dyDescent="0.2">
      <c r="A6" s="912" t="s">
        <v>68</v>
      </c>
      <c r="B6" s="913"/>
      <c r="C6" s="318"/>
      <c r="D6" s="318"/>
      <c r="E6" s="318"/>
      <c r="F6" s="318"/>
      <c r="G6" s="318"/>
      <c r="H6" s="318"/>
      <c r="I6" s="294"/>
      <c r="J6" s="294"/>
    </row>
    <row r="7" spans="1:10" x14ac:dyDescent="0.2">
      <c r="A7" s="319"/>
      <c r="B7" s="319"/>
      <c r="C7" s="143">
        <f t="shared" ref="C7:H7" si="0">IF((C3+C4)=0,0,IF(AND((C3-C5)&gt;=0,(C4-C6)&gt;=0),(C3+C4-C5-C6),IF(AND((C3-C5)&gt;0,(C4-C6)&lt;0),(C3-C5),IF(AND((C3-C5)&lt;0,(C4-C6)&gt;0),(C4-C6),IF((C3-C5)&gt;0,(C3-C5),IF((C3-C5)&lt;0,0))))))</f>
        <v>0</v>
      </c>
      <c r="D7" s="143">
        <f t="shared" si="0"/>
        <v>0</v>
      </c>
      <c r="E7" s="143">
        <f t="shared" si="0"/>
        <v>0</v>
      </c>
      <c r="F7" s="143">
        <f t="shared" si="0"/>
        <v>0</v>
      </c>
      <c r="G7" s="143">
        <f t="shared" si="0"/>
        <v>0</v>
      </c>
      <c r="H7" s="143">
        <f t="shared" si="0"/>
        <v>0</v>
      </c>
      <c r="I7" s="240"/>
      <c r="J7" s="240"/>
    </row>
    <row r="8" spans="1:10" x14ac:dyDescent="0.2">
      <c r="A8" s="933" t="s">
        <v>69</v>
      </c>
      <c r="B8" s="934"/>
      <c r="C8" s="297"/>
      <c r="D8" s="297"/>
      <c r="E8" s="297"/>
      <c r="F8" s="297"/>
      <c r="G8" s="297"/>
      <c r="H8" s="297"/>
      <c r="I8" s="294"/>
      <c r="J8" s="294"/>
    </row>
    <row r="9" spans="1:10" x14ac:dyDescent="0.2">
      <c r="A9" s="935" t="s">
        <v>38</v>
      </c>
      <c r="B9" s="936"/>
      <c r="C9" s="298"/>
      <c r="D9" s="298"/>
      <c r="E9" s="298"/>
      <c r="F9" s="298"/>
      <c r="G9" s="298"/>
      <c r="H9" s="298"/>
      <c r="I9" s="294"/>
      <c r="J9" s="294"/>
    </row>
    <row r="10" spans="1:10" x14ac:dyDescent="0.2">
      <c r="A10" s="888" t="s">
        <v>67</v>
      </c>
      <c r="B10" s="889"/>
      <c r="C10" s="297"/>
      <c r="D10" s="297"/>
      <c r="E10" s="297"/>
      <c r="F10" s="297"/>
      <c r="G10" s="297"/>
      <c r="H10" s="297"/>
      <c r="I10" s="294"/>
      <c r="J10" s="294"/>
    </row>
    <row r="11" spans="1:10" x14ac:dyDescent="0.2">
      <c r="A11" s="912" t="s">
        <v>68</v>
      </c>
      <c r="B11" s="913"/>
      <c r="C11" s="318"/>
      <c r="D11" s="318"/>
      <c r="E11" s="318"/>
      <c r="F11" s="318"/>
      <c r="G11" s="318"/>
      <c r="H11" s="318"/>
      <c r="I11" s="294"/>
      <c r="J11" s="294"/>
    </row>
    <row r="12" spans="1:10" x14ac:dyDescent="0.2">
      <c r="A12" s="321"/>
      <c r="B12" s="321"/>
      <c r="C12" s="143">
        <f t="shared" ref="C12:H12" si="1">IF((C8+C9)=0,0,IF(AND((C8-C10)&gt;=0,(C9-C11)&gt;=0),(C8+C9-C10-C11),IF(AND((C8-C10)&gt;0,(C9-C11)&lt;0),(C8-C10),IF(AND((C8-C10)&lt;0,(C9-C11)&gt;0),(C9-C11),IF((C8-C10)&gt;0,(C8-C10),IF((C8-C10)&lt;0,0))))))</f>
        <v>0</v>
      </c>
      <c r="D12" s="143">
        <f t="shared" si="1"/>
        <v>0</v>
      </c>
      <c r="E12" s="143">
        <f t="shared" si="1"/>
        <v>0</v>
      </c>
      <c r="F12" s="143">
        <f t="shared" si="1"/>
        <v>0</v>
      </c>
      <c r="G12" s="143">
        <f t="shared" si="1"/>
        <v>0</v>
      </c>
      <c r="H12" s="143">
        <f t="shared" si="1"/>
        <v>0</v>
      </c>
      <c r="I12" s="240"/>
      <c r="J12" s="240"/>
    </row>
    <row r="13" spans="1:10" x14ac:dyDescent="0.2">
      <c r="A13" s="892" t="s">
        <v>70</v>
      </c>
      <c r="B13" s="893"/>
      <c r="C13" s="297"/>
      <c r="D13" s="297"/>
      <c r="E13" s="297"/>
      <c r="F13" s="297"/>
      <c r="G13" s="297"/>
      <c r="H13" s="297"/>
      <c r="I13" s="294"/>
      <c r="J13" s="294"/>
    </row>
    <row r="14" spans="1:10" x14ac:dyDescent="0.2">
      <c r="A14" s="886" t="s">
        <v>38</v>
      </c>
      <c r="B14" s="887"/>
      <c r="C14" s="298"/>
      <c r="D14" s="298"/>
      <c r="E14" s="298"/>
      <c r="F14" s="298"/>
      <c r="G14" s="298"/>
      <c r="H14" s="298"/>
      <c r="I14" s="294"/>
      <c r="J14" s="294"/>
    </row>
    <row r="15" spans="1:10" x14ac:dyDescent="0.2">
      <c r="A15" s="888" t="s">
        <v>67</v>
      </c>
      <c r="B15" s="889"/>
      <c r="C15" s="323"/>
      <c r="D15" s="297"/>
      <c r="E15" s="297"/>
      <c r="F15" s="297"/>
      <c r="G15" s="297"/>
      <c r="H15" s="297"/>
      <c r="I15" s="294"/>
      <c r="J15" s="294"/>
    </row>
    <row r="16" spans="1:10" x14ac:dyDescent="0.2">
      <c r="A16" s="912" t="s">
        <v>68</v>
      </c>
      <c r="B16" s="913"/>
      <c r="C16" s="324"/>
      <c r="D16" s="325"/>
      <c r="E16" s="325"/>
      <c r="F16" s="325"/>
      <c r="G16" s="325"/>
      <c r="H16" s="325"/>
      <c r="I16" s="294"/>
      <c r="J16" s="294"/>
    </row>
    <row r="17" spans="1:10" x14ac:dyDescent="0.2">
      <c r="A17" s="321"/>
      <c r="B17" s="321"/>
      <c r="C17" s="143">
        <f t="shared" ref="C17:H17" si="2">IF((C13+C14)=0,0,IF(AND((C13-C15)&gt;=0,(C14-C16)&gt;=0),(C13+C14-C15-C16),IF(AND((C13-C15)&gt;0,(C14-C16)&lt;0),(C13-C15),IF(AND((C13-C15)&lt;0,(C14-C16)&gt;0),(C14-C16),IF((C13-C15)&gt;0,(C13-C15),IF((C13-C15)&lt;0,0))))))</f>
        <v>0</v>
      </c>
      <c r="D17" s="143">
        <f t="shared" si="2"/>
        <v>0</v>
      </c>
      <c r="E17" s="143">
        <f t="shared" si="2"/>
        <v>0</v>
      </c>
      <c r="F17" s="143">
        <f t="shared" si="2"/>
        <v>0</v>
      </c>
      <c r="G17" s="143">
        <f t="shared" si="2"/>
        <v>0</v>
      </c>
      <c r="H17" s="143">
        <f t="shared" si="2"/>
        <v>0</v>
      </c>
      <c r="I17" s="240"/>
      <c r="J17" s="240"/>
    </row>
    <row r="18" spans="1:10" x14ac:dyDescent="0.2">
      <c r="A18" s="892" t="s">
        <v>516</v>
      </c>
      <c r="B18" s="893"/>
      <c r="C18" s="328"/>
      <c r="D18" s="328"/>
      <c r="E18" s="328"/>
      <c r="F18" s="328"/>
      <c r="G18" s="328"/>
      <c r="H18" s="328"/>
      <c r="I18" s="294"/>
      <c r="J18" s="294"/>
    </row>
    <row r="19" spans="1:10" x14ac:dyDescent="0.2">
      <c r="A19" s="607"/>
      <c r="B19" s="608" t="s">
        <v>517</v>
      </c>
      <c r="C19" s="609"/>
      <c r="D19" s="609"/>
      <c r="E19" s="609"/>
      <c r="F19" s="609"/>
      <c r="G19" s="609"/>
      <c r="H19" s="609"/>
      <c r="I19" s="294"/>
      <c r="J19" s="294"/>
    </row>
    <row r="20" spans="1:10" x14ac:dyDescent="0.2">
      <c r="A20" s="886" t="s">
        <v>515</v>
      </c>
      <c r="B20" s="887"/>
      <c r="C20" s="362"/>
      <c r="D20" s="362"/>
      <c r="E20" s="362"/>
      <c r="F20" s="362"/>
      <c r="G20" s="362"/>
      <c r="H20" s="362"/>
      <c r="I20" s="294"/>
      <c r="J20" s="294"/>
    </row>
    <row r="21" spans="1:10" x14ac:dyDescent="0.2">
      <c r="A21" s="888" t="s">
        <v>67</v>
      </c>
      <c r="B21" s="889"/>
      <c r="C21" s="323"/>
      <c r="D21" s="328"/>
      <c r="E21" s="328"/>
      <c r="F21" s="328"/>
      <c r="G21" s="328"/>
      <c r="H21" s="328"/>
      <c r="I21" s="294"/>
      <c r="J21" s="294"/>
    </row>
    <row r="22" spans="1:10" x14ac:dyDescent="0.2">
      <c r="A22" s="912" t="s">
        <v>68</v>
      </c>
      <c r="B22" s="913"/>
      <c r="C22" s="329"/>
      <c r="D22" s="318"/>
      <c r="E22" s="318"/>
      <c r="F22" s="318"/>
      <c r="G22" s="318"/>
      <c r="H22" s="318"/>
      <c r="I22" s="294"/>
      <c r="J22" s="294"/>
    </row>
    <row r="23" spans="1:10" s="614" customFormat="1" x14ac:dyDescent="0.2">
      <c r="A23" s="615"/>
      <c r="B23" s="615"/>
      <c r="C23" s="143">
        <f>IF((C18+C19+C20)=0,0,IF(AND((C18+C19-C21)&gt;=0,(C20-C22)&gt;=0),(C18+C19+C20-C21-C22),IF(AND((C18+C19-C21)&gt;0,(C20-C22)&lt;0),(C18+C19-C21),IF(AND((C18+C19-C21)&lt;0,(C20-C22)&gt;0),(C20-C22),IF((C18+C19-C21)&gt;0,(C18+C19-C21),IF((C18+C19-C21)&lt;0,0))))))</f>
        <v>0</v>
      </c>
      <c r="D23" s="143">
        <f t="shared" ref="D23:H23" si="3">IF((D18+D19+D20)=0,0,IF(AND((D18+D19-D21)&gt;=0,(D20-D22)&gt;=0),(D18+D19+D20-D21-D22),IF(AND((D18+D19-D21)&gt;0,(D20-D22)&lt;0),(D18+D19-D21),IF(AND((D18+D19-D21)&lt;0,(D20-D22)&gt;0),(D20-D22),IF((D18+D19-D21)&gt;0,(D18+D19-D21),IF((D18+D19-D21)&lt;0,0))))))</f>
        <v>0</v>
      </c>
      <c r="E23" s="143">
        <f t="shared" si="3"/>
        <v>0</v>
      </c>
      <c r="F23" s="143">
        <f t="shared" si="3"/>
        <v>0</v>
      </c>
      <c r="G23" s="143">
        <f t="shared" si="3"/>
        <v>0</v>
      </c>
      <c r="H23" s="143">
        <f t="shared" si="3"/>
        <v>0</v>
      </c>
      <c r="I23" s="81"/>
      <c r="J23" s="81"/>
    </row>
    <row r="24" spans="1:10" x14ac:dyDescent="0.2">
      <c r="A24" s="892" t="s">
        <v>71</v>
      </c>
      <c r="B24" s="893"/>
      <c r="C24" s="297"/>
      <c r="D24" s="297"/>
      <c r="E24" s="297"/>
      <c r="F24" s="297"/>
      <c r="G24" s="297"/>
      <c r="H24" s="297"/>
      <c r="I24" s="294"/>
      <c r="J24" s="294"/>
    </row>
    <row r="25" spans="1:10" x14ac:dyDescent="0.2">
      <c r="A25" s="886" t="s">
        <v>38</v>
      </c>
      <c r="B25" s="887"/>
      <c r="C25" s="298"/>
      <c r="D25" s="298"/>
      <c r="E25" s="298"/>
      <c r="F25" s="298"/>
      <c r="G25" s="298"/>
      <c r="H25" s="298"/>
      <c r="I25" s="294"/>
      <c r="J25" s="294"/>
    </row>
    <row r="26" spans="1:10" x14ac:dyDescent="0.2">
      <c r="A26" s="888" t="s">
        <v>67</v>
      </c>
      <c r="B26" s="889"/>
      <c r="C26" s="323"/>
      <c r="D26" s="297"/>
      <c r="E26" s="297"/>
      <c r="F26" s="297"/>
      <c r="G26" s="297"/>
      <c r="H26" s="297"/>
      <c r="I26" s="294"/>
      <c r="J26" s="294"/>
    </row>
    <row r="27" spans="1:10" x14ac:dyDescent="0.2">
      <c r="A27" s="890" t="s">
        <v>68</v>
      </c>
      <c r="B27" s="891"/>
      <c r="C27" s="329"/>
      <c r="D27" s="318"/>
      <c r="E27" s="318"/>
      <c r="F27" s="318"/>
      <c r="G27" s="318"/>
      <c r="H27" s="318"/>
      <c r="I27" s="294"/>
      <c r="J27" s="294"/>
    </row>
    <row r="28" spans="1:10" x14ac:dyDescent="0.2">
      <c r="A28" s="331"/>
      <c r="B28" s="330"/>
      <c r="C28" s="144">
        <f t="shared" ref="C28:H28" si="4">IF((C24+C25)=0,0,IF(AND((C24-C26)&gt;=0,(C25-C27)&gt;=0),(C24+C25-C26-C27),IF(AND((C24-C26)&gt;0,(C25-C27)&lt;0),(C24-C26),IF(AND((C24-C26)&lt;0,(C25-C27)&gt;0),(C25-C27),IF((C24-C26)&gt;0,(C24-C26),IF((C24-C26)&lt;0,0))))))</f>
        <v>0</v>
      </c>
      <c r="D28" s="144">
        <f t="shared" si="4"/>
        <v>0</v>
      </c>
      <c r="E28" s="144">
        <f t="shared" si="4"/>
        <v>0</v>
      </c>
      <c r="F28" s="144">
        <f t="shared" si="4"/>
        <v>0</v>
      </c>
      <c r="G28" s="144">
        <f t="shared" si="4"/>
        <v>0</v>
      </c>
      <c r="H28" s="144">
        <f t="shared" si="4"/>
        <v>0</v>
      </c>
      <c r="I28" s="239"/>
      <c r="J28" s="239"/>
    </row>
    <row r="29" spans="1:10" s="614" customFormat="1" x14ac:dyDescent="0.2">
      <c r="A29" s="84"/>
      <c r="B29" s="616"/>
      <c r="C29" s="616">
        <f>IF(AND(C18&gt;0,AS!C53&gt;0),C18,0)</f>
        <v>0</v>
      </c>
      <c r="D29" s="616">
        <f>IF(AND(D18&gt;0,AS!D53&gt;0),D18,0)</f>
        <v>0</v>
      </c>
      <c r="E29" s="616">
        <f>IF(AND(E18&gt;0,AS!E53&gt;0),E18,0)</f>
        <v>0</v>
      </c>
      <c r="F29" s="616">
        <f>IF(AND(F18&gt;0,AS!F53&gt;0),F18,0)</f>
        <v>0</v>
      </c>
      <c r="G29" s="616">
        <f>IF(AND(G18&gt;0,AS!G53&gt;0),G18,0)</f>
        <v>0</v>
      </c>
      <c r="H29" s="616">
        <f>IF(AND(H18&gt;0,AS!H53&gt;0),H18,0)</f>
        <v>0</v>
      </c>
      <c r="I29" s="617"/>
      <c r="J29" s="613"/>
    </row>
    <row r="30" spans="1:10" x14ac:dyDescent="0.2">
      <c r="A30" s="239"/>
      <c r="B30" s="1044"/>
      <c r="C30" s="1044"/>
      <c r="D30" s="409"/>
      <c r="E30" s="409"/>
      <c r="F30" s="409"/>
      <c r="G30" s="409"/>
      <c r="H30" s="409"/>
      <c r="I30" s="409"/>
      <c r="J30" s="239"/>
    </row>
    <row r="31" spans="1:10" x14ac:dyDescent="0.2">
      <c r="A31" s="239"/>
      <c r="B31" s="1045"/>
      <c r="C31" s="1045"/>
      <c r="D31" s="334"/>
      <c r="E31" s="334"/>
      <c r="F31" s="334"/>
      <c r="G31" s="334"/>
      <c r="H31" s="334"/>
      <c r="I31" s="334"/>
      <c r="J31" s="239"/>
    </row>
    <row r="32" spans="1:10" x14ac:dyDescent="0.2">
      <c r="A32" s="239"/>
      <c r="B32" s="1045"/>
      <c r="C32" s="1045"/>
      <c r="D32" s="334"/>
      <c r="E32" s="334"/>
      <c r="F32" s="334"/>
      <c r="G32" s="334"/>
      <c r="H32" s="334"/>
      <c r="I32" s="334"/>
      <c r="J32" s="239"/>
    </row>
    <row r="33" spans="1:10" x14ac:dyDescent="0.2">
      <c r="A33" s="239"/>
      <c r="B33" s="332"/>
      <c r="C33" s="332"/>
      <c r="D33" s="334"/>
      <c r="E33" s="334"/>
      <c r="F33" s="334"/>
      <c r="G33" s="334"/>
      <c r="H33" s="334"/>
      <c r="I33" s="334"/>
      <c r="J33" s="239"/>
    </row>
    <row r="34" spans="1:10" x14ac:dyDescent="0.2">
      <c r="A34" s="239"/>
      <c r="B34" s="239"/>
      <c r="C34" s="239"/>
      <c r="D34" s="239"/>
      <c r="E34" s="239"/>
      <c r="F34" s="239"/>
      <c r="G34" s="239"/>
      <c r="H34" s="239"/>
      <c r="I34" s="239"/>
      <c r="J34" s="239"/>
    </row>
    <row r="35" spans="1:10" x14ac:dyDescent="0.2">
      <c r="A35" s="239"/>
      <c r="B35" s="239"/>
      <c r="C35" s="239"/>
      <c r="D35" s="239"/>
      <c r="E35" s="239"/>
      <c r="F35" s="239"/>
      <c r="G35" s="239"/>
      <c r="H35" s="239"/>
      <c r="I35" s="239"/>
      <c r="J35" s="239"/>
    </row>
    <row r="36" spans="1:10" x14ac:dyDescent="0.2">
      <c r="A36" s="239"/>
      <c r="B36" s="239"/>
      <c r="C36" s="239"/>
      <c r="D36" s="239"/>
      <c r="E36" s="239"/>
      <c r="F36" s="239"/>
      <c r="G36" s="239"/>
      <c r="H36" s="239"/>
      <c r="I36" s="239"/>
      <c r="J36" s="239"/>
    </row>
    <row r="37" spans="1:10" ht="15" x14ac:dyDescent="0.25">
      <c r="A37" s="931" t="s">
        <v>29</v>
      </c>
      <c r="B37" s="932"/>
      <c r="C37" s="255" t="e">
        <f>EDATE(BG!D2,-6)</f>
        <v>#NUM!</v>
      </c>
      <c r="D37" s="255" t="e">
        <f>EDATE(BG!D2,-5)</f>
        <v>#NUM!</v>
      </c>
      <c r="E37" s="255" t="e">
        <f>EDATE(BG!D2,-4)</f>
        <v>#NUM!</v>
      </c>
      <c r="F37" s="255" t="e">
        <f>EDATE(BG!D2,-3)</f>
        <v>#NUM!</v>
      </c>
      <c r="G37" s="255" t="e">
        <f>EDATE(BG!D2,-2)</f>
        <v>#NUM!</v>
      </c>
      <c r="H37" s="255" t="e">
        <f>EDATE(BG!D2,-1)</f>
        <v>#NUM!</v>
      </c>
      <c r="I37" s="292"/>
      <c r="J37" s="292"/>
    </row>
    <row r="38" spans="1:10" x14ac:dyDescent="0.2">
      <c r="A38" s="896" t="s">
        <v>73</v>
      </c>
      <c r="B38" s="897"/>
      <c r="C38" s="333"/>
      <c r="D38" s="333"/>
      <c r="E38" s="333"/>
      <c r="F38" s="333"/>
      <c r="G38" s="333"/>
      <c r="H38" s="333"/>
      <c r="I38" s="294"/>
      <c r="J38" s="294"/>
    </row>
    <row r="39" spans="1:10" x14ac:dyDescent="0.2">
      <c r="A39" s="868" t="s">
        <v>74</v>
      </c>
      <c r="B39" s="869"/>
      <c r="C39" s="333"/>
      <c r="D39" s="333"/>
      <c r="E39" s="333"/>
      <c r="F39" s="333"/>
      <c r="G39" s="333"/>
      <c r="H39" s="333"/>
      <c r="I39" s="294"/>
      <c r="J39" s="294"/>
    </row>
    <row r="40" spans="1:10" x14ac:dyDescent="0.2">
      <c r="A40" s="239"/>
      <c r="B40" s="239"/>
      <c r="C40" s="239"/>
      <c r="D40" s="239"/>
      <c r="E40" s="239"/>
      <c r="F40" s="239"/>
      <c r="G40" s="239"/>
      <c r="H40" s="239"/>
      <c r="I40" s="240"/>
      <c r="J40" s="240"/>
    </row>
    <row r="41" spans="1:10" x14ac:dyDescent="0.2">
      <c r="A41" s="1046" t="s">
        <v>252</v>
      </c>
      <c r="B41" s="1047"/>
      <c r="C41" s="363"/>
      <c r="D41" s="363"/>
      <c r="E41" s="363"/>
      <c r="F41" s="363"/>
      <c r="G41" s="363"/>
      <c r="H41" s="363"/>
      <c r="I41" s="294"/>
      <c r="J41" s="294"/>
    </row>
    <row r="42" spans="1:10" x14ac:dyDescent="0.2">
      <c r="A42" s="1042" t="s">
        <v>313</v>
      </c>
      <c r="B42" s="1043"/>
      <c r="C42" s="294"/>
      <c r="D42" s="294"/>
      <c r="E42" s="294"/>
      <c r="F42" s="294"/>
      <c r="G42" s="294"/>
      <c r="H42" s="410"/>
      <c r="I42" s="240"/>
      <c r="J42" s="240"/>
    </row>
    <row r="43" spans="1:10" x14ac:dyDescent="0.2">
      <c r="A43" s="884" t="s">
        <v>314</v>
      </c>
      <c r="B43" s="885"/>
      <c r="C43" s="336"/>
      <c r="D43" s="336"/>
      <c r="E43" s="336"/>
      <c r="F43" s="336"/>
      <c r="G43" s="336"/>
      <c r="H43" s="336"/>
      <c r="I43" s="294"/>
      <c r="J43" s="294"/>
    </row>
    <row r="44" spans="1:10" x14ac:dyDescent="0.2">
      <c r="A44" s="880" t="s">
        <v>495</v>
      </c>
      <c r="B44" s="881"/>
      <c r="C44" s="339"/>
      <c r="D44" s="339"/>
      <c r="E44" s="339"/>
      <c r="F44" s="339"/>
      <c r="G44" s="339"/>
      <c r="H44" s="339"/>
      <c r="I44" s="294"/>
      <c r="J44" s="294"/>
    </row>
    <row r="45" spans="1:10" x14ac:dyDescent="0.2">
      <c r="A45" s="882" t="s">
        <v>316</v>
      </c>
      <c r="B45" s="883"/>
      <c r="C45" s="339"/>
      <c r="D45" s="339"/>
      <c r="E45" s="339"/>
      <c r="F45" s="339"/>
      <c r="G45" s="339"/>
      <c r="H45" s="339"/>
      <c r="I45" s="294"/>
      <c r="J45" s="294"/>
    </row>
    <row r="46" spans="1:10" x14ac:dyDescent="0.2">
      <c r="A46" s="870" t="s">
        <v>317</v>
      </c>
      <c r="B46" s="871"/>
      <c r="C46" s="340" t="e">
        <f t="shared" ref="C46:H46" si="5">IF(AND(C96=0,C41&gt;0,C61&gt;17),30,0)</f>
        <v>#NUM!</v>
      </c>
      <c r="D46" s="340" t="e">
        <f t="shared" si="5"/>
        <v>#NUM!</v>
      </c>
      <c r="E46" s="340" t="e">
        <f t="shared" si="5"/>
        <v>#NUM!</v>
      </c>
      <c r="F46" s="340" t="e">
        <f t="shared" si="5"/>
        <v>#NUM!</v>
      </c>
      <c r="G46" s="340" t="e">
        <f t="shared" si="5"/>
        <v>#NUM!</v>
      </c>
      <c r="H46" s="340" t="e">
        <f t="shared" si="5"/>
        <v>#NUM!</v>
      </c>
      <c r="I46" s="240"/>
      <c r="J46" s="240"/>
    </row>
    <row r="47" spans="1:10" x14ac:dyDescent="0.2">
      <c r="A47" s="872" t="s">
        <v>58</v>
      </c>
      <c r="B47" s="872"/>
      <c r="C47" s="364"/>
      <c r="D47" s="364"/>
      <c r="E47" s="364"/>
      <c r="F47" s="364"/>
      <c r="G47" s="364"/>
      <c r="H47" s="364"/>
      <c r="I47" s="294"/>
      <c r="J47" s="294"/>
    </row>
    <row r="48" spans="1:10" x14ac:dyDescent="0.2">
      <c r="A48" s="873" t="s">
        <v>318</v>
      </c>
      <c r="B48" s="874"/>
      <c r="C48" s="336"/>
      <c r="D48" s="336"/>
      <c r="E48" s="336"/>
      <c r="F48" s="336"/>
      <c r="G48" s="336"/>
      <c r="H48" s="336"/>
      <c r="I48" s="294"/>
      <c r="J48" s="294"/>
    </row>
    <row r="49" spans="1:10" x14ac:dyDescent="0.2">
      <c r="A49" s="810" t="s">
        <v>319</v>
      </c>
      <c r="B49" s="810"/>
      <c r="C49" s="337"/>
      <c r="D49" s="337"/>
      <c r="E49" s="337"/>
      <c r="F49" s="337"/>
      <c r="G49" s="337"/>
      <c r="H49" s="337"/>
      <c r="I49" s="294"/>
      <c r="J49" s="294"/>
    </row>
    <row r="50" spans="1:10" x14ac:dyDescent="0.2">
      <c r="A50" s="810" t="s">
        <v>320</v>
      </c>
      <c r="B50" s="810"/>
      <c r="C50" s="287">
        <f t="shared" ref="C50:H50" si="6">IF(C41=ISBLANK(0),0,IF(C96&gt;0,SUM(C43:C49),IF(C96=0,IF(SUM(C43:C49)&lt;100,100,SUM(C43:C49)))))</f>
        <v>0</v>
      </c>
      <c r="D50" s="287">
        <f t="shared" si="6"/>
        <v>0</v>
      </c>
      <c r="E50" s="287">
        <f t="shared" si="6"/>
        <v>0</v>
      </c>
      <c r="F50" s="287">
        <f t="shared" si="6"/>
        <v>0</v>
      </c>
      <c r="G50" s="287">
        <f t="shared" si="6"/>
        <v>0</v>
      </c>
      <c r="H50" s="287">
        <f t="shared" si="6"/>
        <v>0</v>
      </c>
      <c r="I50" s="294"/>
      <c r="J50" s="294"/>
    </row>
    <row r="51" spans="1:10" x14ac:dyDescent="0.2">
      <c r="A51" s="810" t="s">
        <v>322</v>
      </c>
      <c r="B51" s="810"/>
      <c r="C51" s="287">
        <f t="shared" ref="C51:H51" si="7">IF(C41-C50&lt;0,0,C41-C50)</f>
        <v>0</v>
      </c>
      <c r="D51" s="287">
        <f t="shared" si="7"/>
        <v>0</v>
      </c>
      <c r="E51" s="287">
        <f t="shared" si="7"/>
        <v>0</v>
      </c>
      <c r="F51" s="287">
        <f t="shared" si="7"/>
        <v>0</v>
      </c>
      <c r="G51" s="287">
        <f t="shared" si="7"/>
        <v>0</v>
      </c>
      <c r="H51" s="287">
        <f t="shared" si="7"/>
        <v>0</v>
      </c>
      <c r="I51" s="240"/>
      <c r="J51" s="240"/>
    </row>
    <row r="52" spans="1:10" x14ac:dyDescent="0.2">
      <c r="A52" s="866" t="s">
        <v>321</v>
      </c>
      <c r="B52" s="867"/>
      <c r="C52" s="365"/>
      <c r="D52" s="365"/>
      <c r="E52" s="365"/>
      <c r="F52" s="365"/>
      <c r="G52" s="365"/>
      <c r="H52" s="365"/>
      <c r="I52" s="294"/>
      <c r="J52" s="294"/>
    </row>
    <row r="53" spans="1:10" x14ac:dyDescent="0.2">
      <c r="A53" s="868" t="s">
        <v>68</v>
      </c>
      <c r="B53" s="869"/>
      <c r="C53" s="333"/>
      <c r="D53" s="333"/>
      <c r="E53" s="333"/>
      <c r="F53" s="333"/>
      <c r="G53" s="333"/>
      <c r="H53" s="333"/>
      <c r="I53" s="294"/>
      <c r="J53" s="294"/>
    </row>
    <row r="54" spans="1:10" x14ac:dyDescent="0.2">
      <c r="A54" s="239"/>
      <c r="B54" s="239"/>
      <c r="C54" s="93">
        <f t="shared" ref="C54:H54" si="8">IF((C52-C53)&lt;0,0,(C52-C53))</f>
        <v>0</v>
      </c>
      <c r="D54" s="93">
        <f t="shared" si="8"/>
        <v>0</v>
      </c>
      <c r="E54" s="93">
        <f t="shared" si="8"/>
        <v>0</v>
      </c>
      <c r="F54" s="93">
        <f t="shared" si="8"/>
        <v>0</v>
      </c>
      <c r="G54" s="93">
        <f t="shared" si="8"/>
        <v>0</v>
      </c>
      <c r="H54" s="93">
        <f t="shared" si="8"/>
        <v>0</v>
      </c>
      <c r="I54" s="240"/>
      <c r="J54" s="240"/>
    </row>
    <row r="55" spans="1:10" x14ac:dyDescent="0.2">
      <c r="A55" s="239"/>
      <c r="B55" s="239"/>
      <c r="C55" s="93">
        <f t="shared" ref="C55:H55" si="9">IF(C38-C39&lt;0,0,C38-C39)</f>
        <v>0</v>
      </c>
      <c r="D55" s="93">
        <f t="shared" si="9"/>
        <v>0</v>
      </c>
      <c r="E55" s="93">
        <f t="shared" si="9"/>
        <v>0</v>
      </c>
      <c r="F55" s="93">
        <f t="shared" si="9"/>
        <v>0</v>
      </c>
      <c r="G55" s="93">
        <f t="shared" si="9"/>
        <v>0</v>
      </c>
      <c r="H55" s="93">
        <f t="shared" si="9"/>
        <v>0</v>
      </c>
      <c r="I55" s="240"/>
      <c r="J55" s="240"/>
    </row>
    <row r="56" spans="1:10" ht="15" x14ac:dyDescent="0.25">
      <c r="A56" s="902" t="s">
        <v>75</v>
      </c>
      <c r="B56" s="902"/>
      <c r="C56" s="342" t="s">
        <v>323</v>
      </c>
      <c r="D56" s="309"/>
      <c r="E56" s="309"/>
      <c r="F56" s="309"/>
      <c r="G56" s="309"/>
      <c r="H56" s="309"/>
      <c r="I56" s="240"/>
      <c r="J56" s="240"/>
    </row>
    <row r="57" spans="1:10" x14ac:dyDescent="0.2">
      <c r="A57" s="903" t="s">
        <v>56</v>
      </c>
      <c r="B57" s="903"/>
      <c r="C57" s="308"/>
      <c r="D57" s="308"/>
      <c r="E57" s="308"/>
      <c r="F57" s="308"/>
      <c r="G57" s="308"/>
      <c r="H57" s="308"/>
      <c r="I57" s="294"/>
      <c r="J57" s="294"/>
    </row>
    <row r="58" spans="1:10" x14ac:dyDescent="0.2">
      <c r="A58" s="903" t="s">
        <v>57</v>
      </c>
      <c r="B58" s="903"/>
      <c r="C58" s="308"/>
      <c r="D58" s="308"/>
      <c r="E58" s="308"/>
      <c r="F58" s="308"/>
      <c r="G58" s="308"/>
      <c r="H58" s="308"/>
      <c r="I58" s="294"/>
      <c r="J58" s="294"/>
    </row>
    <row r="59" spans="1:10" x14ac:dyDescent="0.2">
      <c r="A59" s="903" t="s">
        <v>58</v>
      </c>
      <c r="B59" s="903"/>
      <c r="C59" s="308"/>
      <c r="D59" s="308"/>
      <c r="E59" s="308"/>
      <c r="F59" s="308"/>
      <c r="G59" s="308"/>
      <c r="H59" s="308"/>
      <c r="I59" s="294"/>
      <c r="J59" s="294"/>
    </row>
    <row r="60" spans="1:10" x14ac:dyDescent="0.2">
      <c r="A60" s="903" t="s">
        <v>76</v>
      </c>
      <c r="B60" s="903"/>
      <c r="C60" s="343">
        <f>IF(C61&lt;18,0,IF(C46=30,0,IF((C75+C76+H78)&gt;0,0,IF(C96=0,30,IF(C96&gt;0,0)))))</f>
        <v>0</v>
      </c>
      <c r="D60" s="343">
        <f>IF(D61&lt;18,0,IF(D46=30,0,IF((D75+D76+H78)&gt;0,0,IF(D96=0,30,IF(D96&gt;0,0)))))</f>
        <v>0</v>
      </c>
      <c r="E60" s="343">
        <f>IF(E61&lt;18,0,IF(E46=30,0,IF((E75+E76+H78)&gt;0,0,IF(E96=0,30,IF(E96&gt;0,0)))))</f>
        <v>0</v>
      </c>
      <c r="F60" s="343">
        <f>IF(F61&lt;18,0,IF(F46=30,0,IF((F75+F76+H78)&gt;0,0,IF(F96=0,30,IF(F96&gt;0,0)))))</f>
        <v>0</v>
      </c>
      <c r="G60" s="343">
        <f>IF(G61&lt;18,0,IF(G46=30,0,IF((G75+G76+H78)&gt;0,0,IF(G96=0,30,IF(G96&gt;0,0)))))</f>
        <v>0</v>
      </c>
      <c r="H60" s="343">
        <f>IF(H61&lt;18,0,IF(H46=30,0,IF((H75+H76+H78)&gt;0,0,IF(H96=0,30,IF(H96&gt;0,0)))))</f>
        <v>0</v>
      </c>
      <c r="I60" s="239"/>
      <c r="J60" s="239"/>
    </row>
    <row r="61" spans="1:10" x14ac:dyDescent="0.2">
      <c r="A61" s="239"/>
      <c r="B61" s="239"/>
      <c r="C61" s="84">
        <f>IF(BG!$C$32=ISBLANK(0),0,IF(INT((C37-BG!$C$32)/365.25)&lt;0,0,INT((C37-BG!$C$32)/365.25)))</f>
        <v>0</v>
      </c>
      <c r="D61" s="84">
        <f>IF(BG!$C$32=ISBLANK(0),0,IF(INT((D37-BG!$C$32)/365.25)&lt;0,0,INT((D37-BG!$C$32)/365.25)))</f>
        <v>0</v>
      </c>
      <c r="E61" s="84">
        <f>IF(BG!$C$32=ISBLANK(0),0,IF(INT((E37-BG!$C$32)/365.25)&lt;0,0,INT((E37-BG!$C$32)/365.25)))</f>
        <v>0</v>
      </c>
      <c r="F61" s="84">
        <f>IF(BG!$C$32=ISBLANK(0),0,IF(INT((F37-BG!$C$32)/365.25)&lt;0,0,INT((F37-BG!$C$32)/365.25)))</f>
        <v>0</v>
      </c>
      <c r="G61" s="84">
        <f>IF(BG!$C$32=ISBLANK(0),0,IF(INT((G37-BG!$C$32)/365.25)&lt;0,0,INT((G37-BG!$C$32)/365.25)))</f>
        <v>0</v>
      </c>
      <c r="H61" s="84">
        <f>IF(BG!$C$32=ISBLANK(0),0,IF(INT((H37-BG!$C$32)/365.25)&lt;0,0,INT((H37-BG!$C$32)/365.25)))</f>
        <v>0</v>
      </c>
      <c r="I61" s="239"/>
      <c r="J61" s="239"/>
    </row>
    <row r="62" spans="1:10" x14ac:dyDescent="0.2">
      <c r="A62" s="241"/>
      <c r="B62" s="344" t="s">
        <v>77</v>
      </c>
      <c r="C62" s="97">
        <f t="shared" ref="C62:H62" si="10">C7+C12+C17+C23+C28+C51+C54+C55</f>
        <v>0</v>
      </c>
      <c r="D62" s="97">
        <f t="shared" si="10"/>
        <v>0</v>
      </c>
      <c r="E62" s="97">
        <f t="shared" si="10"/>
        <v>0</v>
      </c>
      <c r="F62" s="97">
        <f t="shared" si="10"/>
        <v>0</v>
      </c>
      <c r="G62" s="97">
        <f t="shared" si="10"/>
        <v>0</v>
      </c>
      <c r="H62" s="97">
        <f t="shared" si="10"/>
        <v>0</v>
      </c>
      <c r="I62" s="258" t="s">
        <v>48</v>
      </c>
      <c r="J62" s="239"/>
    </row>
    <row r="63" spans="1:10" x14ac:dyDescent="0.2">
      <c r="A63" s="345"/>
      <c r="B63" s="346" t="s">
        <v>78</v>
      </c>
      <c r="C63" s="106">
        <f t="shared" ref="C63:H63" si="11">SUM(C57:C60)</f>
        <v>0</v>
      </c>
      <c r="D63" s="106">
        <f t="shared" si="11"/>
        <v>0</v>
      </c>
      <c r="E63" s="106">
        <f t="shared" si="11"/>
        <v>0</v>
      </c>
      <c r="F63" s="106">
        <f t="shared" si="11"/>
        <v>0</v>
      </c>
      <c r="G63" s="106">
        <f t="shared" si="11"/>
        <v>0</v>
      </c>
      <c r="H63" s="106">
        <f t="shared" si="11"/>
        <v>0</v>
      </c>
      <c r="I63" s="347"/>
      <c r="J63" s="239"/>
    </row>
    <row r="64" spans="1:10" x14ac:dyDescent="0.2">
      <c r="A64" s="281"/>
      <c r="B64" s="348" t="s">
        <v>79</v>
      </c>
      <c r="C64" s="296">
        <f t="shared" ref="C64:H64" si="12">IF((C62-C63)&lt;0,0,(C62-C63))</f>
        <v>0</v>
      </c>
      <c r="D64" s="296">
        <f t="shared" si="12"/>
        <v>0</v>
      </c>
      <c r="E64" s="296">
        <f t="shared" si="12"/>
        <v>0</v>
      </c>
      <c r="F64" s="296">
        <f t="shared" si="12"/>
        <v>0</v>
      </c>
      <c r="G64" s="296">
        <f t="shared" si="12"/>
        <v>0</v>
      </c>
      <c r="H64" s="296">
        <f t="shared" si="12"/>
        <v>0</v>
      </c>
      <c r="I64" s="287">
        <f>SUM(C64:H64)</f>
        <v>0</v>
      </c>
      <c r="J64" s="239"/>
    </row>
    <row r="65" spans="1:10" x14ac:dyDescent="0.2">
      <c r="A65" s="239"/>
      <c r="B65" s="239"/>
      <c r="C65" s="239"/>
      <c r="D65" s="239"/>
      <c r="E65" s="239"/>
      <c r="F65" s="239"/>
      <c r="G65" s="239"/>
      <c r="H65" s="239"/>
      <c r="I65" s="239"/>
      <c r="J65" s="239"/>
    </row>
    <row r="66" spans="1:10" x14ac:dyDescent="0.2">
      <c r="A66" s="239"/>
      <c r="B66" s="239"/>
      <c r="C66" s="239"/>
      <c r="D66" s="239"/>
      <c r="E66" s="239"/>
      <c r="F66" s="239"/>
      <c r="G66" s="239"/>
      <c r="H66" s="239"/>
      <c r="I66" s="239"/>
      <c r="J66" s="239"/>
    </row>
    <row r="67" spans="1:10" x14ac:dyDescent="0.2">
      <c r="A67" s="239"/>
      <c r="B67" s="239"/>
      <c r="C67" s="239"/>
      <c r="D67" s="239"/>
      <c r="E67" s="239"/>
      <c r="F67" s="239"/>
      <c r="G67" s="239"/>
      <c r="H67" s="239"/>
      <c r="I67" s="239"/>
      <c r="J67" s="239"/>
    </row>
    <row r="68" spans="1:10" x14ac:dyDescent="0.2">
      <c r="A68" s="239"/>
      <c r="B68" s="239"/>
      <c r="C68" s="239"/>
      <c r="D68" s="239"/>
      <c r="E68" s="239"/>
      <c r="F68" s="239"/>
      <c r="G68" s="239"/>
      <c r="H68" s="239"/>
      <c r="I68" s="239"/>
      <c r="J68" s="239"/>
    </row>
    <row r="69" spans="1:10" x14ac:dyDescent="0.2">
      <c r="A69" s="239"/>
      <c r="B69" s="239"/>
      <c r="C69" s="239"/>
      <c r="D69" s="239"/>
      <c r="E69" s="239"/>
      <c r="F69" s="239"/>
      <c r="G69" s="239"/>
      <c r="H69" s="239"/>
      <c r="I69" s="239"/>
      <c r="J69" s="239"/>
    </row>
    <row r="70" spans="1:10" x14ac:dyDescent="0.2">
      <c r="A70" s="239"/>
      <c r="B70" s="239"/>
      <c r="C70" s="239"/>
      <c r="D70" s="239"/>
      <c r="E70" s="239"/>
      <c r="F70" s="239"/>
      <c r="G70" s="239"/>
      <c r="H70" s="239"/>
      <c r="I70" s="239"/>
      <c r="J70" s="239"/>
    </row>
    <row r="71" spans="1:10" x14ac:dyDescent="0.2">
      <c r="A71" s="239"/>
      <c r="B71" s="239"/>
      <c r="C71" s="239"/>
      <c r="D71" s="239"/>
      <c r="E71" s="239"/>
      <c r="F71" s="239"/>
      <c r="G71" s="239"/>
      <c r="H71" s="239"/>
      <c r="I71" s="239"/>
      <c r="J71" s="239"/>
    </row>
    <row r="72" spans="1:10" ht="15" x14ac:dyDescent="0.25">
      <c r="A72" s="249"/>
      <c r="B72" s="239"/>
      <c r="C72" s="914" t="s">
        <v>46</v>
      </c>
      <c r="D72" s="914"/>
      <c r="E72" s="914"/>
      <c r="F72" s="914"/>
      <c r="G72" s="914"/>
      <c r="H72" s="914"/>
      <c r="I72" s="239"/>
      <c r="J72" s="239"/>
    </row>
    <row r="73" spans="1:10" ht="15" x14ac:dyDescent="0.25">
      <c r="A73" s="915" t="s">
        <v>29</v>
      </c>
      <c r="B73" s="915"/>
      <c r="C73" s="255" t="e">
        <f>EDATE(BG!D2,-6)</f>
        <v>#NUM!</v>
      </c>
      <c r="D73" s="255" t="e">
        <f>EDATE(BG!D2,-5)</f>
        <v>#NUM!</v>
      </c>
      <c r="E73" s="255" t="e">
        <f>EDATE(BG!D2,-4)</f>
        <v>#NUM!</v>
      </c>
      <c r="F73" s="255" t="e">
        <f>EDATE(BG!D2,-3)</f>
        <v>#NUM!</v>
      </c>
      <c r="G73" s="255" t="e">
        <f>EDATE(BG!D2,-2)</f>
        <v>#NUM!</v>
      </c>
      <c r="H73" s="255" t="e">
        <f>EDATE(BG!D2,-1)</f>
        <v>#NUM!</v>
      </c>
      <c r="I73" s="245"/>
      <c r="J73" s="292"/>
    </row>
    <row r="74" spans="1:10" x14ac:dyDescent="0.2">
      <c r="A74" s="1050" t="s">
        <v>596</v>
      </c>
      <c r="B74" s="1051"/>
      <c r="C74" s="366" t="s">
        <v>185</v>
      </c>
      <c r="D74" s="366" t="s">
        <v>185</v>
      </c>
      <c r="E74" s="366" t="s">
        <v>185</v>
      </c>
      <c r="F74" s="366" t="s">
        <v>185</v>
      </c>
      <c r="G74" s="366" t="s">
        <v>185</v>
      </c>
      <c r="H74" s="366" t="s">
        <v>185</v>
      </c>
      <c r="I74" s="345"/>
      <c r="J74" s="332" t="str">
        <f>IF(SUM(C77:H77)&gt;0,"bitte hier"," ")</f>
        <v xml:space="preserve"> </v>
      </c>
    </row>
    <row r="75" spans="1:10" ht="14.25" customHeight="1" x14ac:dyDescent="0.2">
      <c r="A75" s="916" t="s">
        <v>47</v>
      </c>
      <c r="B75" s="916"/>
      <c r="C75" s="264"/>
      <c r="D75" s="264"/>
      <c r="E75" s="264"/>
      <c r="F75" s="264"/>
      <c r="G75" s="264"/>
      <c r="H75" s="264"/>
      <c r="I75" s="311"/>
      <c r="J75" s="367" t="str">
        <f>IF(SUM(C77:H77)&gt;0,"eintragen"," ")</f>
        <v xml:space="preserve"> </v>
      </c>
    </row>
    <row r="76" spans="1:10" x14ac:dyDescent="0.2">
      <c r="A76" s="917" t="s">
        <v>38</v>
      </c>
      <c r="B76" s="917"/>
      <c r="C76" s="266"/>
      <c r="D76" s="266"/>
      <c r="E76" s="266"/>
      <c r="F76" s="266"/>
      <c r="G76" s="266"/>
      <c r="H76" s="266"/>
      <c r="I76" s="368" t="str">
        <f>IF(SUM(C77:H77)&gt;0,"Beginn d."," ")</f>
        <v xml:space="preserve"> </v>
      </c>
      <c r="J76" s="1052"/>
    </row>
    <row r="77" spans="1:10" ht="14.25" customHeight="1" x14ac:dyDescent="0.2">
      <c r="A77" s="918" t="s">
        <v>242</v>
      </c>
      <c r="B77" s="918"/>
      <c r="C77" s="369"/>
      <c r="D77" s="369"/>
      <c r="E77" s="369"/>
      <c r="F77" s="369"/>
      <c r="G77" s="369"/>
      <c r="H77" s="369"/>
      <c r="I77" s="370" t="str">
        <f>IF(SUM(C77:H77)&gt;0,"Selbständigkeit:"," ")</f>
        <v xml:space="preserve"> </v>
      </c>
      <c r="J77" s="1053"/>
    </row>
    <row r="78" spans="1:10" x14ac:dyDescent="0.2">
      <c r="A78" s="239"/>
      <c r="B78" s="239"/>
      <c r="C78" s="248"/>
      <c r="D78" s="248"/>
      <c r="E78" s="142" t="s">
        <v>48</v>
      </c>
      <c r="F78" s="83">
        <f>SUM(C77:H77)</f>
        <v>0</v>
      </c>
      <c r="G78" s="81" t="s">
        <v>49</v>
      </c>
      <c r="H78" s="83" t="e">
        <f>ROUND((F78/J81),2)</f>
        <v>#NUM!</v>
      </c>
      <c r="I78" s="411" t="str">
        <f>IF(SUM(C77:H77)&gt;0,"Ende d."," ")</f>
        <v xml:space="preserve"> </v>
      </c>
      <c r="J78" s="1048"/>
    </row>
    <row r="79" spans="1:10" x14ac:dyDescent="0.2">
      <c r="A79" s="921" t="s">
        <v>50</v>
      </c>
      <c r="B79" s="922"/>
      <c r="C79" s="297"/>
      <c r="D79" s="297"/>
      <c r="E79" s="297"/>
      <c r="F79" s="297"/>
      <c r="G79" s="297"/>
      <c r="H79" s="297"/>
      <c r="I79" s="370" t="str">
        <f>IF(SUM(C77:H77)&gt;0,"Selbständigkeit:"," ")</f>
        <v xml:space="preserve"> </v>
      </c>
      <c r="J79" s="1049"/>
    </row>
    <row r="80" spans="1:10" x14ac:dyDescent="0.2">
      <c r="A80" s="923" t="s">
        <v>51</v>
      </c>
      <c r="B80" s="924"/>
      <c r="C80" s="298"/>
      <c r="D80" s="298"/>
      <c r="E80" s="298"/>
      <c r="F80" s="298"/>
      <c r="G80" s="298"/>
      <c r="H80" s="298"/>
      <c r="I80" s="1054" t="str">
        <f>IF(SUM(C77:H77)&gt;0,"Format: MM/JJ"," ")</f>
        <v xml:space="preserve"> </v>
      </c>
      <c r="J80" s="1055"/>
    </row>
    <row r="81" spans="1:10" x14ac:dyDescent="0.2">
      <c r="A81" s="925" t="s">
        <v>52</v>
      </c>
      <c r="B81" s="925"/>
      <c r="C81" s="371"/>
      <c r="D81" s="371"/>
      <c r="E81" s="371"/>
      <c r="F81" s="371"/>
      <c r="G81" s="371"/>
      <c r="H81" s="371"/>
      <c r="I81" s="198" t="e">
        <f>IF(J76&lt;MEG!C6,6,DATEDIF(J76,MEG!E6,"m")+1)</f>
        <v>#NUM!</v>
      </c>
      <c r="J81" s="199" t="e">
        <f>IF(J78=ISBLANK(0),I81,IF(J76=ISBLANK(0),I82,DATEDIF(I84,J84,"m")+1))</f>
        <v>#NUM!</v>
      </c>
    </row>
    <row r="82" spans="1:10" x14ac:dyDescent="0.2">
      <c r="A82" s="1056" t="s">
        <v>54</v>
      </c>
      <c r="B82" s="1056"/>
      <c r="C82" s="413"/>
      <c r="D82" s="413"/>
      <c r="E82" s="413"/>
      <c r="F82" s="413"/>
      <c r="G82" s="413"/>
      <c r="H82" s="413"/>
      <c r="I82" s="198" t="e">
        <f>IF(J78&lt;MEG!C6,6,DATEDIF(MEG!C6,J78,"m")+1)</f>
        <v>#NUM!</v>
      </c>
      <c r="J82" s="199"/>
    </row>
    <row r="83" spans="1:10" x14ac:dyDescent="0.2">
      <c r="A83" s="1057"/>
      <c r="B83" s="1057"/>
      <c r="C83" s="414"/>
      <c r="D83" s="414"/>
      <c r="E83" s="126" t="s">
        <v>48</v>
      </c>
      <c r="F83" s="81" t="s">
        <v>49</v>
      </c>
      <c r="G83" s="90" t="s">
        <v>53</v>
      </c>
      <c r="H83" s="91" t="e">
        <f>IF((H78-F84)&lt;0,0,(H78-F84))</f>
        <v>#NUM!</v>
      </c>
      <c r="I83" s="81"/>
      <c r="J83" s="81"/>
    </row>
    <row r="84" spans="1:10" x14ac:dyDescent="0.2">
      <c r="A84" s="239"/>
      <c r="B84" s="292"/>
      <c r="C84" s="373"/>
      <c r="D84" s="373"/>
      <c r="E84" s="83">
        <f>SUM(C81:H82)</f>
        <v>0</v>
      </c>
      <c r="F84" s="83" t="e">
        <f>ROUND((E84/J81),2)</f>
        <v>#NUM!</v>
      </c>
      <c r="G84" s="373"/>
      <c r="H84" s="374"/>
      <c r="I84" s="179" t="e">
        <f>IF(J76&lt;MEG!C6,MEG!C6,J76)</f>
        <v>#NUM!</v>
      </c>
      <c r="J84" s="179" t="e">
        <f>IF(J78&gt;MEG!E6,MEG!E6,J78)</f>
        <v>#NUM!</v>
      </c>
    </row>
    <row r="85" spans="1:10" x14ac:dyDescent="0.2">
      <c r="A85" s="925" t="s">
        <v>54</v>
      </c>
      <c r="B85" s="925"/>
      <c r="C85" s="302">
        <f t="shared" ref="C85:H85" si="13">SUM(C88,(C86*ROUND(C87,0)*0.2))</f>
        <v>0</v>
      </c>
      <c r="D85" s="302">
        <f t="shared" si="13"/>
        <v>0</v>
      </c>
      <c r="E85" s="302">
        <f t="shared" si="13"/>
        <v>0</v>
      </c>
      <c r="F85" s="302">
        <f t="shared" si="13"/>
        <v>0</v>
      </c>
      <c r="G85" s="302">
        <f t="shared" si="13"/>
        <v>0</v>
      </c>
      <c r="H85" s="302">
        <f t="shared" si="13"/>
        <v>0</v>
      </c>
      <c r="I85" s="203" t="e">
        <f>I84</f>
        <v>#NUM!</v>
      </c>
      <c r="J85" s="179" t="e">
        <f>IF(J78=ISBLANK(0),H73+1,J78)</f>
        <v>#NUM!</v>
      </c>
    </row>
    <row r="86" spans="1:10" x14ac:dyDescent="0.2">
      <c r="A86" s="927" t="s">
        <v>234</v>
      </c>
      <c r="B86" s="928"/>
      <c r="C86" s="375"/>
      <c r="D86" s="375"/>
      <c r="E86" s="375"/>
      <c r="F86" s="375"/>
      <c r="G86" s="375"/>
      <c r="H86" s="375"/>
      <c r="I86" s="202" t="e">
        <f>IF(I84&gt;C73,0,IF(J85&lt;C73,0,H83))</f>
        <v>#NUM!</v>
      </c>
      <c r="J86" s="81"/>
    </row>
    <row r="87" spans="1:10" x14ac:dyDescent="0.2">
      <c r="A87" s="927" t="s">
        <v>235</v>
      </c>
      <c r="B87" s="928"/>
      <c r="C87" s="375"/>
      <c r="D87" s="375"/>
      <c r="E87" s="375"/>
      <c r="F87" s="375"/>
      <c r="G87" s="375"/>
      <c r="H87" s="375"/>
      <c r="I87" s="202" t="e">
        <f>IF(I84&gt;D73,0,IF(J85&lt;D73,0,H83))</f>
        <v>#NUM!</v>
      </c>
      <c r="J87" s="81"/>
    </row>
    <row r="88" spans="1:10" x14ac:dyDescent="0.2">
      <c r="A88" s="929" t="s">
        <v>237</v>
      </c>
      <c r="B88" s="930"/>
      <c r="C88" s="372"/>
      <c r="D88" s="372"/>
      <c r="E88" s="372"/>
      <c r="F88" s="372"/>
      <c r="G88" s="372"/>
      <c r="H88" s="372"/>
      <c r="I88" s="202" t="e">
        <f>IF(I84&gt;E73,0,IF(J85&lt;E73,0,H83))</f>
        <v>#NUM!</v>
      </c>
      <c r="J88" s="81"/>
    </row>
    <row r="89" spans="1:10" x14ac:dyDescent="0.2">
      <c r="A89" s="926" t="s">
        <v>55</v>
      </c>
      <c r="B89" s="926"/>
      <c r="C89" s="305">
        <f t="shared" ref="C89:H89" si="14">C90*C91</f>
        <v>0</v>
      </c>
      <c r="D89" s="305">
        <f t="shared" si="14"/>
        <v>0</v>
      </c>
      <c r="E89" s="305">
        <f t="shared" si="14"/>
        <v>0</v>
      </c>
      <c r="F89" s="305">
        <f t="shared" si="14"/>
        <v>0</v>
      </c>
      <c r="G89" s="305">
        <f t="shared" si="14"/>
        <v>0</v>
      </c>
      <c r="H89" s="305">
        <f t="shared" si="14"/>
        <v>0</v>
      </c>
      <c r="I89" s="202" t="e">
        <f>IF(I84&gt;F73,0,IF(J85&lt;F73,0,H83))</f>
        <v>#NUM!</v>
      </c>
      <c r="J89" s="83"/>
    </row>
    <row r="90" spans="1:10" x14ac:dyDescent="0.2">
      <c r="A90" s="898" t="s">
        <v>238</v>
      </c>
      <c r="B90" s="899"/>
      <c r="C90" s="375"/>
      <c r="D90" s="375"/>
      <c r="E90" s="375"/>
      <c r="F90" s="375"/>
      <c r="G90" s="375"/>
      <c r="H90" s="375"/>
      <c r="I90" s="202" t="e">
        <f>IF(I84&gt;G73,0,IF(J85&lt;G73,0,H83))</f>
        <v>#NUM!</v>
      </c>
      <c r="J90" s="81"/>
    </row>
    <row r="91" spans="1:10" x14ac:dyDescent="0.2">
      <c r="A91" s="942" t="s">
        <v>239</v>
      </c>
      <c r="B91" s="943"/>
      <c r="C91" s="376"/>
      <c r="D91" s="376"/>
      <c r="E91" s="376"/>
      <c r="F91" s="376"/>
      <c r="G91" s="376"/>
      <c r="H91" s="376"/>
      <c r="I91" s="202" t="e">
        <f>IF(I84&gt;H73,0,IF(J85&lt;H73,0,H83))</f>
        <v>#NUM!</v>
      </c>
      <c r="J91" s="81"/>
    </row>
    <row r="92" spans="1:10" x14ac:dyDescent="0.2">
      <c r="A92" s="937" t="s">
        <v>236</v>
      </c>
      <c r="B92" s="938"/>
      <c r="C92" s="307"/>
      <c r="D92" s="307"/>
      <c r="E92" s="307"/>
      <c r="F92" s="307"/>
      <c r="G92" s="307"/>
      <c r="H92" s="307"/>
      <c r="I92" s="356"/>
      <c r="J92" s="83"/>
    </row>
    <row r="93" spans="1:10" x14ac:dyDescent="0.2">
      <c r="A93" s="903" t="s">
        <v>56</v>
      </c>
      <c r="B93" s="903"/>
      <c r="C93" s="307"/>
      <c r="D93" s="307"/>
      <c r="E93" s="307"/>
      <c r="F93" s="307"/>
      <c r="G93" s="307"/>
      <c r="H93" s="307"/>
      <c r="I93" s="311"/>
      <c r="J93" s="294"/>
    </row>
    <row r="94" spans="1:10" x14ac:dyDescent="0.2">
      <c r="A94" s="903" t="s">
        <v>57</v>
      </c>
      <c r="B94" s="903"/>
      <c r="C94" s="307"/>
      <c r="D94" s="307"/>
      <c r="E94" s="307"/>
      <c r="F94" s="307"/>
      <c r="G94" s="307"/>
      <c r="H94" s="307"/>
      <c r="I94" s="311"/>
      <c r="J94" s="294"/>
    </row>
    <row r="95" spans="1:10" x14ac:dyDescent="0.2">
      <c r="A95" s="903" t="s">
        <v>58</v>
      </c>
      <c r="B95" s="903"/>
      <c r="C95" s="308"/>
      <c r="D95" s="308"/>
      <c r="E95" s="308"/>
      <c r="F95" s="308"/>
      <c r="G95" s="308"/>
      <c r="H95" s="308"/>
      <c r="I95" s="311"/>
      <c r="J95" s="294"/>
    </row>
    <row r="96" spans="1:10" x14ac:dyDescent="0.2">
      <c r="A96" s="239"/>
      <c r="B96" s="239"/>
      <c r="C96" s="93" t="e">
        <f>C75+I86</f>
        <v>#NUM!</v>
      </c>
      <c r="D96" s="93" t="e">
        <f>D75+I87</f>
        <v>#NUM!</v>
      </c>
      <c r="E96" s="93" t="e">
        <f>E75+I88</f>
        <v>#NUM!</v>
      </c>
      <c r="F96" s="93" t="e">
        <f>F75+I89</f>
        <v>#NUM!</v>
      </c>
      <c r="G96" s="93" t="e">
        <f>G75+I90</f>
        <v>#NUM!</v>
      </c>
      <c r="H96" s="93" t="e">
        <f>H75+I91</f>
        <v>#NUM!</v>
      </c>
      <c r="I96" s="239"/>
      <c r="J96" s="239"/>
    </row>
    <row r="97" spans="1:10" x14ac:dyDescent="0.2">
      <c r="A97" s="903" t="s">
        <v>59</v>
      </c>
      <c r="B97" s="903"/>
      <c r="C97" s="287" t="e">
        <f>IF(C74="ja",Grundfreibeträge!G81,Grundfreibeträge!F81)</f>
        <v>#NUM!</v>
      </c>
      <c r="D97" s="287" t="e">
        <f>IF(D74="ja",Grundfreibeträge!G82,Grundfreibeträge!F82)</f>
        <v>#NUM!</v>
      </c>
      <c r="E97" s="287" t="e">
        <f>IF(E74="ja",Grundfreibeträge!G83,Grundfreibeträge!F83)</f>
        <v>#NUM!</v>
      </c>
      <c r="F97" s="287" t="e">
        <f>IF(F74="ja",Grundfreibeträge!G84,Grundfreibeträge!F84)</f>
        <v>#NUM!</v>
      </c>
      <c r="G97" s="287" t="e">
        <f>IF(G74="ja",Grundfreibeträge!G85,Grundfreibeträge!F85)</f>
        <v>#NUM!</v>
      </c>
      <c r="H97" s="287" t="e">
        <f>IF(H74="ja",Grundfreibeträge!G86,Grundfreibeträge!F86)</f>
        <v>#NUM!</v>
      </c>
      <c r="I97" s="239"/>
      <c r="J97" s="239"/>
    </row>
    <row r="98" spans="1:10" x14ac:dyDescent="0.2">
      <c r="A98" s="937" t="s">
        <v>597</v>
      </c>
      <c r="B98" s="938"/>
      <c r="C98" s="287" t="e">
        <f>MAX((MIN(C96,520)-C97)*0.2,0)</f>
        <v>#NUM!</v>
      </c>
      <c r="D98" s="287" t="e">
        <f t="shared" ref="D98:H98" si="15">MAX((MIN(D96,520)-D97)*0.2,0)</f>
        <v>#NUM!</v>
      </c>
      <c r="E98" s="287" t="e">
        <f t="shared" si="15"/>
        <v>#NUM!</v>
      </c>
      <c r="F98" s="287" t="e">
        <f t="shared" si="15"/>
        <v>#NUM!</v>
      </c>
      <c r="G98" s="287" t="e">
        <f t="shared" si="15"/>
        <v>#NUM!</v>
      </c>
      <c r="H98" s="287" t="e">
        <f t="shared" si="15"/>
        <v>#NUM!</v>
      </c>
      <c r="I98" s="778"/>
      <c r="J98" s="778"/>
    </row>
    <row r="99" spans="1:10" x14ac:dyDescent="0.2">
      <c r="A99" s="903" t="s">
        <v>60</v>
      </c>
      <c r="B99" s="903"/>
      <c r="C99" s="287" t="e">
        <f>MAX(MIN(C96-520,480)*0.3,0)</f>
        <v>#NUM!</v>
      </c>
      <c r="D99" s="287" t="e">
        <f t="shared" ref="D99:H99" si="16">MAX(MIN(D96-520,480)*0.3,0)</f>
        <v>#NUM!</v>
      </c>
      <c r="E99" s="287" t="e">
        <f t="shared" si="16"/>
        <v>#NUM!</v>
      </c>
      <c r="F99" s="287" t="e">
        <f t="shared" si="16"/>
        <v>#NUM!</v>
      </c>
      <c r="G99" s="287" t="e">
        <f t="shared" si="16"/>
        <v>#NUM!</v>
      </c>
      <c r="H99" s="287" t="e">
        <f t="shared" si="16"/>
        <v>#NUM!</v>
      </c>
      <c r="I99" s="239"/>
      <c r="J99" s="239"/>
    </row>
    <row r="100" spans="1:10" x14ac:dyDescent="0.2">
      <c r="A100" s="903" t="s">
        <v>61</v>
      </c>
      <c r="B100" s="903"/>
      <c r="C100" s="287" t="e">
        <f>IF(Grundfreibeträge!Q6="Kind ü18",Grundfreibeträge!H81,IF(C96&lt;1000,0,IF(C96&gt;=1500,50,ROUND((C96-1000)*10%,2))))</f>
        <v>#NUM!</v>
      </c>
      <c r="D100" s="287" t="e">
        <f>IF(Grundfreibeträge!Q6="Kind ü18",Grundfreibeträge!H82,IF(D96&lt;1000,0,IF(D96&gt;=1500,50,ROUND((D96-1000)*10%,2))))</f>
        <v>#NUM!</v>
      </c>
      <c r="E100" s="287" t="e">
        <f>IF(Grundfreibeträge!Q6="Kind ü18",Grundfreibeträge!H83,IF(E96&lt;1000,0,IF(E96&gt;=1500,50,ROUND((E96-1000)*10%,2))))</f>
        <v>#NUM!</v>
      </c>
      <c r="F100" s="287" t="e">
        <f>IF(Grundfreibeträge!Q6="Kind ü18",Grundfreibeträge!H84,IF(F96&lt;1000,0,IF(F96&gt;=1500,50,ROUND((F96-1000)*10%,2))))</f>
        <v>#NUM!</v>
      </c>
      <c r="G100" s="287" t="e">
        <f>IF(Grundfreibeträge!Q6="Kind ü18",Grundfreibeträge!H85,IF(G96&lt;1000,0,IF(G96&gt;=1500,50,ROUND((G96-1000)*10%,2))))</f>
        <v>#NUM!</v>
      </c>
      <c r="H100" s="287" t="e">
        <f>IF(Grundfreibeträge!Q6="Kind ü18",Grundfreibeträge!H86,IF(H96&lt;1000,0,IF(H96&gt;=1500,50,ROUND((H96-1000)*10%,2))))</f>
        <v>#NUM!</v>
      </c>
      <c r="I100" s="288" t="s">
        <v>48</v>
      </c>
      <c r="J100" s="239"/>
    </row>
    <row r="101" spans="1:10" x14ac:dyDescent="0.2">
      <c r="A101" s="903" t="s">
        <v>62</v>
      </c>
      <c r="B101" s="903"/>
      <c r="C101" s="287" t="e">
        <f>IF(C96=0,0,MAX(C96-C79-C97-C98-C99-C100,0))</f>
        <v>#NUM!</v>
      </c>
      <c r="D101" s="287" t="e">
        <f t="shared" ref="D101:H101" si="17">IF(D96=0,0,MAX(D96-D79-D97-D98-D99-D100,0))</f>
        <v>#NUM!</v>
      </c>
      <c r="E101" s="287" t="e">
        <f t="shared" si="17"/>
        <v>#NUM!</v>
      </c>
      <c r="F101" s="287" t="e">
        <f t="shared" si="17"/>
        <v>#NUM!</v>
      </c>
      <c r="G101" s="287" t="e">
        <f t="shared" si="17"/>
        <v>#NUM!</v>
      </c>
      <c r="H101" s="287" t="e">
        <f t="shared" si="17"/>
        <v>#NUM!</v>
      </c>
      <c r="I101" s="287" t="e">
        <f>SUM(C101:H101)</f>
        <v>#NUM!</v>
      </c>
      <c r="J101" s="239"/>
    </row>
    <row r="102" spans="1:10" x14ac:dyDescent="0.2">
      <c r="A102" s="239"/>
      <c r="B102" s="312"/>
      <c r="C102" s="83" t="e">
        <f>C75+C76+I86</f>
        <v>#NUM!</v>
      </c>
      <c r="D102" s="83" t="e">
        <f>D75+D76+I87</f>
        <v>#NUM!</v>
      </c>
      <c r="E102" s="83" t="e">
        <f>E75+E76+I88</f>
        <v>#NUM!</v>
      </c>
      <c r="F102" s="83" t="e">
        <f>F75+F76+I89</f>
        <v>#NUM!</v>
      </c>
      <c r="G102" s="83" t="e">
        <f>G75+G76+I90</f>
        <v>#NUM!</v>
      </c>
      <c r="H102" s="83" t="e">
        <f>H75+H76+I91</f>
        <v>#NUM!</v>
      </c>
      <c r="I102" s="294"/>
      <c r="J102" s="239"/>
    </row>
    <row r="103" spans="1:10" ht="15" x14ac:dyDescent="0.25">
      <c r="A103" s="239"/>
      <c r="B103" s="239"/>
      <c r="C103" s="83" t="e">
        <f t="shared" ref="C103:H103" si="18">IF(C102=0,0,IF(C102&lt;=100,0,IF(C102&lt;=1000,(C102-100)*20%,IF(C102&gt;1000,180))))</f>
        <v>#NUM!</v>
      </c>
      <c r="D103" s="83" t="e">
        <f t="shared" si="18"/>
        <v>#NUM!</v>
      </c>
      <c r="E103" s="83" t="e">
        <f t="shared" si="18"/>
        <v>#NUM!</v>
      </c>
      <c r="F103" s="83" t="e">
        <f t="shared" si="18"/>
        <v>#NUM!</v>
      </c>
      <c r="G103" s="83" t="e">
        <f t="shared" si="18"/>
        <v>#NUM!</v>
      </c>
      <c r="H103" s="83" t="e">
        <f t="shared" si="18"/>
        <v>#NUM!</v>
      </c>
      <c r="I103" s="313"/>
      <c r="J103" s="239"/>
    </row>
    <row r="104" spans="1:10" ht="15" x14ac:dyDescent="0.25">
      <c r="A104" s="909" t="s">
        <v>63</v>
      </c>
      <c r="B104" s="909"/>
      <c r="C104" s="97" t="e">
        <f t="shared" ref="C104:H104" si="19">IF(C102&lt;1000,0,IF(C102&gt;=1500,50,ROUND((C102-1000)*10%,2)))</f>
        <v>#NUM!</v>
      </c>
      <c r="D104" s="97" t="e">
        <f t="shared" si="19"/>
        <v>#NUM!</v>
      </c>
      <c r="E104" s="97" t="e">
        <f t="shared" si="19"/>
        <v>#NUM!</v>
      </c>
      <c r="F104" s="97" t="e">
        <f t="shared" si="19"/>
        <v>#NUM!</v>
      </c>
      <c r="G104" s="97" t="e">
        <f t="shared" si="19"/>
        <v>#NUM!</v>
      </c>
      <c r="H104" s="97" t="e">
        <f t="shared" si="19"/>
        <v>#NUM!</v>
      </c>
      <c r="I104" s="313"/>
      <c r="J104" s="239"/>
    </row>
    <row r="105" spans="1:10" x14ac:dyDescent="0.2">
      <c r="A105" s="908" t="s">
        <v>64</v>
      </c>
      <c r="B105" s="908"/>
      <c r="C105" s="296">
        <f t="shared" ref="C105:H105" si="20">IF(C76=0,0,(C103+C104)-(C99+C100))</f>
        <v>0</v>
      </c>
      <c r="D105" s="296">
        <f t="shared" si="20"/>
        <v>0</v>
      </c>
      <c r="E105" s="296">
        <f t="shared" si="20"/>
        <v>0</v>
      </c>
      <c r="F105" s="296">
        <f t="shared" si="20"/>
        <v>0</v>
      </c>
      <c r="G105" s="296">
        <f t="shared" si="20"/>
        <v>0</v>
      </c>
      <c r="H105" s="296">
        <f t="shared" si="20"/>
        <v>0</v>
      </c>
      <c r="I105" s="314" t="s">
        <v>48</v>
      </c>
      <c r="J105" s="239"/>
    </row>
    <row r="106" spans="1:10" x14ac:dyDescent="0.2">
      <c r="A106" s="810" t="s">
        <v>65</v>
      </c>
      <c r="B106" s="810"/>
      <c r="C106" s="287">
        <f t="shared" ref="C106:H106" si="21">IF(C76=0,0,IF(AND(C76&gt;0,C96&gt;0),C76-C80-C105,IF(C76-C80-C105-C97&lt;0,0,C76-C80-C105-C97)))</f>
        <v>0</v>
      </c>
      <c r="D106" s="287">
        <f t="shared" si="21"/>
        <v>0</v>
      </c>
      <c r="E106" s="287">
        <f t="shared" si="21"/>
        <v>0</v>
      </c>
      <c r="F106" s="287">
        <f t="shared" si="21"/>
        <v>0</v>
      </c>
      <c r="G106" s="287">
        <f t="shared" si="21"/>
        <v>0</v>
      </c>
      <c r="H106" s="287">
        <f t="shared" si="21"/>
        <v>0</v>
      </c>
      <c r="I106" s="287">
        <f>SUM(C106:H106)</f>
        <v>0</v>
      </c>
      <c r="J106" s="239"/>
    </row>
    <row r="107" spans="1:10" x14ac:dyDescent="0.2">
      <c r="A107" s="239"/>
      <c r="B107" s="239"/>
      <c r="C107" s="239"/>
      <c r="D107" s="239"/>
      <c r="E107" s="239"/>
      <c r="F107" s="239"/>
      <c r="G107" s="239"/>
      <c r="H107" s="239"/>
      <c r="I107" s="239"/>
      <c r="J107" s="239"/>
    </row>
    <row r="108" spans="1:10" x14ac:dyDescent="0.2">
      <c r="A108" s="239"/>
      <c r="B108" s="239"/>
      <c r="C108" s="239"/>
      <c r="D108" s="239"/>
      <c r="E108" s="239"/>
      <c r="F108" s="239"/>
      <c r="G108" s="239"/>
      <c r="H108" s="239"/>
      <c r="I108" s="239"/>
      <c r="J108" s="239"/>
    </row>
    <row r="109" spans="1:10" x14ac:dyDescent="0.2">
      <c r="A109" s="239"/>
      <c r="B109" s="239"/>
      <c r="C109" s="239"/>
      <c r="D109" s="239"/>
      <c r="E109" s="239"/>
      <c r="F109" s="239"/>
      <c r="G109" s="239"/>
      <c r="H109" s="239"/>
      <c r="I109" s="239"/>
      <c r="J109" s="239"/>
    </row>
    <row r="110" spans="1:10" ht="15" x14ac:dyDescent="0.25">
      <c r="A110" s="239"/>
      <c r="B110" s="944" t="s">
        <v>80</v>
      </c>
      <c r="C110" s="945"/>
      <c r="D110" s="946"/>
      <c r="E110" s="350" t="s">
        <v>48</v>
      </c>
      <c r="F110" s="377" t="s">
        <v>49</v>
      </c>
      <c r="G110" s="239"/>
      <c r="H110" s="239"/>
      <c r="I110" s="239"/>
      <c r="J110" s="239"/>
    </row>
    <row r="111" spans="1:10" x14ac:dyDescent="0.2">
      <c r="A111" s="239"/>
      <c r="B111" s="947" t="s">
        <v>81</v>
      </c>
      <c r="C111" s="948"/>
      <c r="D111" s="949"/>
      <c r="E111" s="352" t="e">
        <f>I101+I106</f>
        <v>#NUM!</v>
      </c>
      <c r="F111" s="352" t="e">
        <f>E111/6</f>
        <v>#NUM!</v>
      </c>
      <c r="G111" s="239"/>
      <c r="H111" s="239"/>
      <c r="I111" s="239"/>
      <c r="J111" s="239"/>
    </row>
    <row r="112" spans="1:10" x14ac:dyDescent="0.2">
      <c r="A112" s="239"/>
      <c r="B112" s="947" t="s">
        <v>82</v>
      </c>
      <c r="C112" s="948"/>
      <c r="D112" s="949"/>
      <c r="E112" s="352">
        <f>I64</f>
        <v>0</v>
      </c>
      <c r="F112" s="352">
        <f>E112/6</f>
        <v>0</v>
      </c>
      <c r="G112" s="239"/>
      <c r="H112" s="239"/>
      <c r="I112" s="239"/>
      <c r="J112" s="239"/>
    </row>
    <row r="113" spans="1:10" ht="15" x14ac:dyDescent="0.25">
      <c r="A113" s="239"/>
      <c r="B113" s="239"/>
      <c r="C113" s="239"/>
      <c r="D113" s="239"/>
      <c r="E113" s="378" t="s">
        <v>84</v>
      </c>
      <c r="F113" s="353" t="e">
        <f>F111+F112</f>
        <v>#NUM!</v>
      </c>
      <c r="G113" s="239"/>
      <c r="H113" s="239"/>
      <c r="I113" s="239"/>
      <c r="J113" s="239"/>
    </row>
    <row r="114" spans="1:10" x14ac:dyDescent="0.2">
      <c r="A114" s="239"/>
      <c r="B114" s="239"/>
      <c r="C114" s="239"/>
      <c r="D114" s="239"/>
      <c r="E114" s="239"/>
      <c r="F114" s="239"/>
      <c r="G114" s="239"/>
      <c r="H114" s="239"/>
      <c r="I114" s="239"/>
      <c r="J114" s="239"/>
    </row>
    <row r="115" spans="1:10" x14ac:dyDescent="0.2">
      <c r="A115" s="239"/>
      <c r="B115" s="239"/>
      <c r="C115" s="239"/>
      <c r="D115" s="239"/>
      <c r="E115" s="239"/>
      <c r="F115" s="239"/>
      <c r="G115" s="239"/>
      <c r="H115" s="239"/>
      <c r="I115" s="239"/>
      <c r="J115" s="239"/>
    </row>
    <row r="116" spans="1:10" x14ac:dyDescent="0.2">
      <c r="A116" s="239"/>
      <c r="B116" s="239"/>
      <c r="C116" s="239"/>
      <c r="D116" s="239"/>
      <c r="E116" s="239"/>
      <c r="F116" s="239"/>
      <c r="G116" s="239"/>
      <c r="H116" s="239"/>
      <c r="I116" s="239"/>
      <c r="J116" s="239"/>
    </row>
    <row r="117" spans="1:10" x14ac:dyDescent="0.2">
      <c r="A117" s="239"/>
      <c r="B117" s="239"/>
      <c r="C117" s="239"/>
      <c r="D117" s="239"/>
      <c r="E117" s="239"/>
      <c r="F117" s="239"/>
      <c r="G117" s="239"/>
      <c r="H117" s="239"/>
      <c r="I117" s="239"/>
      <c r="J117" s="239"/>
    </row>
    <row r="118" spans="1:10" x14ac:dyDescent="0.2">
      <c r="A118" s="239"/>
      <c r="B118" s="239"/>
      <c r="C118" s="239"/>
      <c r="D118" s="239"/>
      <c r="E118" s="239"/>
      <c r="F118" s="239"/>
      <c r="G118" s="239"/>
      <c r="H118" s="239"/>
      <c r="I118" s="239"/>
      <c r="J118" s="239"/>
    </row>
    <row r="119" spans="1:10" x14ac:dyDescent="0.2">
      <c r="A119" s="239"/>
      <c r="B119" s="239"/>
      <c r="C119" s="239"/>
      <c r="D119" s="239"/>
      <c r="E119" s="239"/>
      <c r="F119" s="1058" t="s">
        <v>85</v>
      </c>
      <c r="G119" s="1058"/>
      <c r="H119" s="379"/>
      <c r="I119" s="239"/>
      <c r="J119" s="239"/>
    </row>
    <row r="120" spans="1:10" x14ac:dyDescent="0.2">
      <c r="A120" s="239"/>
      <c r="B120" s="239"/>
      <c r="C120" s="239"/>
      <c r="D120" s="239"/>
      <c r="E120" s="239"/>
      <c r="F120" s="1059" t="s">
        <v>86</v>
      </c>
      <c r="G120" s="1059"/>
      <c r="H120" s="380"/>
      <c r="I120" s="239"/>
      <c r="J120" s="239"/>
    </row>
    <row r="121" spans="1:10" ht="15" x14ac:dyDescent="0.25">
      <c r="A121" s="239"/>
      <c r="B121" s="239"/>
      <c r="C121" s="239"/>
      <c r="D121" s="239"/>
      <c r="E121" s="239"/>
      <c r="F121" s="1060" t="s">
        <v>87</v>
      </c>
      <c r="G121" s="1060"/>
      <c r="H121" s="381" t="e">
        <f>IF(Kurzantrag!C23&gt;0,Kurzantrag!C23,ROUND(F113*45%,2))</f>
        <v>#NUM!</v>
      </c>
      <c r="I121" s="239"/>
      <c r="J121" s="239"/>
    </row>
    <row r="122" spans="1:10" x14ac:dyDescent="0.2">
      <c r="A122" s="239"/>
      <c r="B122" s="239"/>
      <c r="C122" s="239"/>
      <c r="D122" s="239"/>
      <c r="E122" s="239"/>
      <c r="F122" s="239"/>
      <c r="G122" s="239"/>
      <c r="H122" s="239"/>
      <c r="I122" s="239"/>
      <c r="J122" s="239"/>
    </row>
    <row r="123" spans="1:10" x14ac:dyDescent="0.2">
      <c r="A123" s="322"/>
      <c r="B123" s="322"/>
      <c r="C123" s="322"/>
      <c r="D123" s="322"/>
      <c r="E123" s="322"/>
      <c r="F123" s="322"/>
      <c r="G123" s="322"/>
      <c r="H123" s="322"/>
      <c r="I123" s="322"/>
      <c r="J123" s="322"/>
    </row>
    <row r="124" spans="1:10" x14ac:dyDescent="0.2">
      <c r="A124" s="239"/>
      <c r="B124" s="239"/>
      <c r="C124" s="239"/>
      <c r="D124" s="239"/>
      <c r="E124" s="239"/>
      <c r="F124" s="239"/>
      <c r="G124" s="239"/>
      <c r="H124" s="239"/>
      <c r="I124" s="239"/>
      <c r="J124" s="239"/>
    </row>
    <row r="125" spans="1:10" x14ac:dyDescent="0.2">
      <c r="A125" s="2"/>
      <c r="B125" s="2"/>
      <c r="C125" s="2"/>
      <c r="D125" s="2"/>
      <c r="E125" s="2"/>
      <c r="F125" s="2"/>
      <c r="G125" s="2"/>
      <c r="H125" s="2"/>
      <c r="I125" s="2"/>
      <c r="J125" s="2"/>
    </row>
    <row r="126" spans="1:10" x14ac:dyDescent="0.2">
      <c r="A126" s="2"/>
      <c r="B126" s="2"/>
      <c r="C126" s="2"/>
      <c r="D126" s="2"/>
      <c r="E126" s="2"/>
      <c r="F126" s="2"/>
      <c r="G126" s="2"/>
      <c r="H126" s="2"/>
      <c r="I126" s="2"/>
      <c r="J126" s="2"/>
    </row>
    <row r="127" spans="1:10" x14ac:dyDescent="0.2">
      <c r="A127" s="2"/>
      <c r="B127" s="2"/>
      <c r="C127" s="2"/>
      <c r="D127" s="2"/>
      <c r="E127" s="2"/>
      <c r="F127" s="2"/>
      <c r="G127" s="2"/>
      <c r="H127" s="2"/>
      <c r="I127" s="2"/>
      <c r="J127" s="2"/>
    </row>
    <row r="128" spans="1:10" x14ac:dyDescent="0.2">
      <c r="A128" s="2"/>
      <c r="B128" s="2"/>
      <c r="C128" s="2"/>
      <c r="D128" s="2"/>
      <c r="E128" s="2"/>
      <c r="F128" s="2"/>
      <c r="G128" s="2"/>
      <c r="H128" s="2"/>
      <c r="I128" s="2"/>
      <c r="J128" s="2"/>
    </row>
    <row r="129" spans="1:10" x14ac:dyDescent="0.2">
      <c r="A129" s="2"/>
      <c r="B129" s="2"/>
      <c r="C129" s="2"/>
      <c r="D129" s="2"/>
      <c r="E129" s="2"/>
      <c r="F129" s="2"/>
      <c r="G129" s="2"/>
      <c r="H129" s="2"/>
      <c r="I129" s="2"/>
      <c r="J129" s="2"/>
    </row>
    <row r="130" spans="1:10" x14ac:dyDescent="0.2">
      <c r="A130" s="2"/>
      <c r="B130" s="2"/>
      <c r="C130" s="2"/>
      <c r="D130" s="2"/>
      <c r="E130" s="2"/>
      <c r="F130" s="2"/>
      <c r="G130" s="2"/>
      <c r="H130" s="2"/>
      <c r="I130" s="2"/>
      <c r="J130" s="2"/>
    </row>
    <row r="131" spans="1:10" x14ac:dyDescent="0.2">
      <c r="A131" s="2"/>
      <c r="B131" s="2"/>
      <c r="C131" s="2"/>
      <c r="D131" s="2"/>
      <c r="E131" s="2"/>
      <c r="F131" s="2"/>
      <c r="G131" s="2"/>
      <c r="H131" s="2"/>
      <c r="I131" s="2"/>
      <c r="J131" s="2"/>
    </row>
    <row r="132" spans="1:10" x14ac:dyDescent="0.2">
      <c r="A132" s="2"/>
      <c r="B132" s="2"/>
      <c r="C132" s="2"/>
      <c r="D132" s="2"/>
      <c r="E132" s="2"/>
      <c r="F132" s="2"/>
      <c r="G132" s="2"/>
      <c r="H132" s="2"/>
      <c r="I132" s="2"/>
      <c r="J132" s="2"/>
    </row>
    <row r="133" spans="1:10" x14ac:dyDescent="0.2">
      <c r="A133" s="2"/>
      <c r="B133" s="2"/>
      <c r="C133" s="2"/>
      <c r="D133" s="2"/>
      <c r="E133" s="2"/>
      <c r="F133" s="2"/>
      <c r="G133" s="2"/>
      <c r="H133" s="2"/>
      <c r="I133" s="2"/>
      <c r="J133" s="2"/>
    </row>
    <row r="134" spans="1:10" x14ac:dyDescent="0.2">
      <c r="A134" s="2"/>
      <c r="B134" s="2"/>
      <c r="C134" s="2"/>
      <c r="D134" s="2"/>
      <c r="E134" s="2"/>
      <c r="F134" s="2"/>
      <c r="G134" s="2"/>
      <c r="H134" s="2"/>
      <c r="I134" s="2"/>
      <c r="J134" s="2"/>
    </row>
    <row r="135" spans="1:10" x14ac:dyDescent="0.2">
      <c r="A135" s="2"/>
      <c r="B135" s="2"/>
      <c r="C135" s="2"/>
      <c r="D135" s="2"/>
      <c r="E135" s="2"/>
      <c r="F135" s="2"/>
      <c r="G135" s="2"/>
      <c r="H135" s="2"/>
      <c r="I135" s="2"/>
      <c r="J135" s="2"/>
    </row>
    <row r="136" spans="1:10" x14ac:dyDescent="0.2">
      <c r="A136" s="2"/>
      <c r="B136" s="2"/>
      <c r="C136" s="2"/>
      <c r="D136" s="2"/>
      <c r="E136" s="2"/>
      <c r="F136" s="2"/>
      <c r="G136" s="2"/>
      <c r="H136" s="2"/>
      <c r="I136" s="2"/>
      <c r="J136" s="2"/>
    </row>
  </sheetData>
  <sheetProtection algorithmName="SHA-512" hashValue="kWEEc8ont0eEQxurEchklMuMyGukZQtR46mkGGalgvXBsibqF8MFLUJBsF2DD1IUzM/8MIDwjyj42SPOUp5Waw==" saltValue="pV62O0hghJBuXdWWSLS/WQ==" spinCount="100000" sheet="1" formatCells="0" formatColumns="0" formatRows="0" insertColumns="0" insertRows="0" insertHyperlinks="0" deleteColumns="0" deleteRows="0" sort="0" autoFilter="0" pivotTables="0"/>
  <mergeCells count="84">
    <mergeCell ref="J76:J77"/>
    <mergeCell ref="J78:J79"/>
    <mergeCell ref="I80:J80"/>
    <mergeCell ref="F119:G119"/>
    <mergeCell ref="F120:G120"/>
    <mergeCell ref="F121:G121"/>
    <mergeCell ref="A104:B104"/>
    <mergeCell ref="A105:B105"/>
    <mergeCell ref="A106:B106"/>
    <mergeCell ref="B110:D110"/>
    <mergeCell ref="B111:D111"/>
    <mergeCell ref="B112:D112"/>
    <mergeCell ref="A101:B101"/>
    <mergeCell ref="A88:B88"/>
    <mergeCell ref="A89:B89"/>
    <mergeCell ref="A90:B90"/>
    <mergeCell ref="A91:B91"/>
    <mergeCell ref="A92:B92"/>
    <mergeCell ref="A93:B93"/>
    <mergeCell ref="A94:B94"/>
    <mergeCell ref="A95:B95"/>
    <mergeCell ref="A97:B97"/>
    <mergeCell ref="A99:B99"/>
    <mergeCell ref="A100:B100"/>
    <mergeCell ref="A98:B98"/>
    <mergeCell ref="A87:B87"/>
    <mergeCell ref="A74:B74"/>
    <mergeCell ref="A75:B75"/>
    <mergeCell ref="A76:B76"/>
    <mergeCell ref="A77:B77"/>
    <mergeCell ref="A79:B79"/>
    <mergeCell ref="A80:B80"/>
    <mergeCell ref="A81:B81"/>
    <mergeCell ref="A82:B82"/>
    <mergeCell ref="A83:B83"/>
    <mergeCell ref="A85:B85"/>
    <mergeCell ref="A86:B86"/>
    <mergeCell ref="A73:B73"/>
    <mergeCell ref="A49:B49"/>
    <mergeCell ref="A50:B50"/>
    <mergeCell ref="A51:B51"/>
    <mergeCell ref="A52:B52"/>
    <mergeCell ref="A53:B53"/>
    <mergeCell ref="A56:B56"/>
    <mergeCell ref="A57:B57"/>
    <mergeCell ref="A58:B58"/>
    <mergeCell ref="A59:B59"/>
    <mergeCell ref="A60:B60"/>
    <mergeCell ref="C72:H72"/>
    <mergeCell ref="A48:B48"/>
    <mergeCell ref="B32:C32"/>
    <mergeCell ref="A37:B37"/>
    <mergeCell ref="A38:B38"/>
    <mergeCell ref="A39:B39"/>
    <mergeCell ref="A41:B41"/>
    <mergeCell ref="A42:B42"/>
    <mergeCell ref="A43:B43"/>
    <mergeCell ref="A44:B44"/>
    <mergeCell ref="A45:B45"/>
    <mergeCell ref="A46:B46"/>
    <mergeCell ref="A47:B47"/>
    <mergeCell ref="B31:C31"/>
    <mergeCell ref="A16:B16"/>
    <mergeCell ref="A18:B18"/>
    <mergeCell ref="A20:B20"/>
    <mergeCell ref="A21:B21"/>
    <mergeCell ref="A22:B22"/>
    <mergeCell ref="A24:B24"/>
    <mergeCell ref="A25:B25"/>
    <mergeCell ref="A26:B26"/>
    <mergeCell ref="A27:B27"/>
    <mergeCell ref="B30:C30"/>
    <mergeCell ref="A15:B15"/>
    <mergeCell ref="C1:H1"/>
    <mergeCell ref="A3:B3"/>
    <mergeCell ref="A4:B4"/>
    <mergeCell ref="A5:B5"/>
    <mergeCell ref="A6:B6"/>
    <mergeCell ref="A8:B8"/>
    <mergeCell ref="A9:B9"/>
    <mergeCell ref="A10:B10"/>
    <mergeCell ref="A11:B11"/>
    <mergeCell ref="A13:B13"/>
    <mergeCell ref="A14:B14"/>
  </mergeCells>
  <dataValidations count="3">
    <dataValidation type="list" allowBlank="1" showInputMessage="1" showErrorMessage="1" sqref="C74:H74" xr:uid="{00000000-0002-0000-1100-000000000000}">
      <formula1>".,ja,nein"</formula1>
    </dataValidation>
    <dataValidation type="decimal" allowBlank="1" showInputMessage="1" showErrorMessage="1" error="Der eingegebene Wert ist unzulässig. Bitte geben Sie eine Zahl ein, die größer 0 ist." sqref="C3:H6 C8:H11 C13:H16 C18:H22 C24:H27 C38:H39 C41:H41 C43:H45 C47:H49 C52:H53 C57:H59 C75:H77 C79:H82 C86:H88 C90:H95" xr:uid="{00000000-0002-0000-1100-000001000000}">
      <formula1>0</formula1>
      <formula2>1000000</formula2>
    </dataValidation>
    <dataValidation allowBlank="1" showInputMessage="1" showErrorMessage="1" prompt="Bitte geben Sie das Datum im Format MM/JJ ein (z.B. 03/19)." sqref="J76:J79" xr:uid="{00000000-0002-0000-1100-000002000000}"/>
  </dataValidations>
  <pageMargins left="0.7" right="0.7" top="0.78740157499999996" bottom="0.78740157499999996" header="0.3" footer="0.3"/>
  <pageSetup paperSize="9" orientation="landscape" r:id="rId1"/>
  <headerFooter>
    <oddHeader>&amp;L&amp;"Arial,Fett"&amp;U4. Ermittlung des anzurechgnenden Einkommens des Kindes / der Kinder:
4.12. Einkommensermittlung Kind 12:
&amp;R&amp;D</oddHeader>
    <oddFooter>&amp;R&amp;P</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4"/>
  <dimension ref="A1:J135"/>
  <sheetViews>
    <sheetView showGridLines="0" zoomScaleNormal="100" workbookViewId="0">
      <selection activeCell="C18" sqref="C18"/>
    </sheetView>
  </sheetViews>
  <sheetFormatPr baseColWidth="10" defaultRowHeight="14.25" x14ac:dyDescent="0.2"/>
  <cols>
    <col min="1" max="16384" width="11" style="1"/>
  </cols>
  <sheetData>
    <row r="1" spans="1:10" ht="15" x14ac:dyDescent="0.25">
      <c r="A1" s="313"/>
      <c r="B1" s="240"/>
      <c r="C1" s="914" t="s">
        <v>251</v>
      </c>
      <c r="D1" s="914"/>
      <c r="E1" s="914"/>
      <c r="F1" s="914"/>
      <c r="G1" s="914"/>
      <c r="H1" s="914"/>
      <c r="I1" s="239"/>
      <c r="J1" s="239"/>
    </row>
    <row r="2" spans="1:10" ht="15" x14ac:dyDescent="0.25">
      <c r="A2" s="407" t="s">
        <v>29</v>
      </c>
      <c r="B2" s="408"/>
      <c r="C2" s="255" t="e">
        <f>EDATE(BG!D2,-6)</f>
        <v>#NUM!</v>
      </c>
      <c r="D2" s="255" t="e">
        <f>EDATE(BG!D2,-5)</f>
        <v>#NUM!</v>
      </c>
      <c r="E2" s="255" t="e">
        <f>EDATE(BG!D2,-4)</f>
        <v>#NUM!</v>
      </c>
      <c r="F2" s="255" t="e">
        <f>EDATE(BG!D2,-3)</f>
        <v>#NUM!</v>
      </c>
      <c r="G2" s="255" t="e">
        <f>EDATE(BG!D2,-2)</f>
        <v>#NUM!</v>
      </c>
      <c r="H2" s="255" t="e">
        <f>EDATE(BG!D2,-1)</f>
        <v>#NUM!</v>
      </c>
      <c r="I2" s="239"/>
      <c r="J2" s="239"/>
    </row>
    <row r="3" spans="1:10" x14ac:dyDescent="0.2">
      <c r="A3" s="892" t="s">
        <v>66</v>
      </c>
      <c r="B3" s="893"/>
      <c r="C3" s="297"/>
      <c r="D3" s="297"/>
      <c r="E3" s="297"/>
      <c r="F3" s="297"/>
      <c r="G3" s="297"/>
      <c r="H3" s="297"/>
      <c r="I3" s="239"/>
      <c r="J3" s="239"/>
    </row>
    <row r="4" spans="1:10" x14ac:dyDescent="0.2">
      <c r="A4" s="886" t="s">
        <v>38</v>
      </c>
      <c r="B4" s="887"/>
      <c r="C4" s="298"/>
      <c r="D4" s="298"/>
      <c r="E4" s="298"/>
      <c r="F4" s="298"/>
      <c r="G4" s="298"/>
      <c r="H4" s="298"/>
      <c r="I4" s="239"/>
      <c r="J4" s="239"/>
    </row>
    <row r="5" spans="1:10" x14ac:dyDescent="0.2">
      <c r="A5" s="888" t="s">
        <v>67</v>
      </c>
      <c r="B5" s="889"/>
      <c r="C5" s="317"/>
      <c r="D5" s="317"/>
      <c r="E5" s="317"/>
      <c r="F5" s="317"/>
      <c r="G5" s="317"/>
      <c r="H5" s="317"/>
      <c r="I5" s="239"/>
      <c r="J5" s="239"/>
    </row>
    <row r="6" spans="1:10" x14ac:dyDescent="0.2">
      <c r="A6" s="912" t="s">
        <v>68</v>
      </c>
      <c r="B6" s="913"/>
      <c r="C6" s="318"/>
      <c r="D6" s="318"/>
      <c r="E6" s="318"/>
      <c r="F6" s="318"/>
      <c r="G6" s="318"/>
      <c r="H6" s="318"/>
      <c r="I6" s="239"/>
      <c r="J6" s="239"/>
    </row>
    <row r="7" spans="1:10" x14ac:dyDescent="0.2">
      <c r="A7" s="319"/>
      <c r="B7" s="319"/>
      <c r="C7" s="143">
        <f t="shared" ref="C7:H7" si="0">IF((C3+C4)=0,0,IF(AND((C3-C5)&gt;=0,(C4-C6)&gt;=0),(C3+C4-C5-C6),IF(AND((C3-C5)&gt;0,(C4-C6)&lt;0),(C3-C5),IF(AND((C3-C5)&lt;0,(C4-C6)&gt;0),(C4-C6),IF((C3-C5)&gt;0,(C3-C5),IF((C3-C5)&lt;0,0))))))</f>
        <v>0</v>
      </c>
      <c r="D7" s="143">
        <f t="shared" si="0"/>
        <v>0</v>
      </c>
      <c r="E7" s="143">
        <f t="shared" si="0"/>
        <v>0</v>
      </c>
      <c r="F7" s="143">
        <f t="shared" si="0"/>
        <v>0</v>
      </c>
      <c r="G7" s="143">
        <f t="shared" si="0"/>
        <v>0</v>
      </c>
      <c r="H7" s="143">
        <f t="shared" si="0"/>
        <v>0</v>
      </c>
      <c r="I7" s="239"/>
      <c r="J7" s="239"/>
    </row>
    <row r="8" spans="1:10" x14ac:dyDescent="0.2">
      <c r="A8" s="933" t="s">
        <v>69</v>
      </c>
      <c r="B8" s="934"/>
      <c r="C8" s="297"/>
      <c r="D8" s="297"/>
      <c r="E8" s="297"/>
      <c r="F8" s="297"/>
      <c r="G8" s="297"/>
      <c r="H8" s="297"/>
      <c r="I8" s="239"/>
      <c r="J8" s="239"/>
    </row>
    <row r="9" spans="1:10" x14ac:dyDescent="0.2">
      <c r="A9" s="935" t="s">
        <v>38</v>
      </c>
      <c r="B9" s="936"/>
      <c r="C9" s="298"/>
      <c r="D9" s="298"/>
      <c r="E9" s="298"/>
      <c r="F9" s="298"/>
      <c r="G9" s="298"/>
      <c r="H9" s="298"/>
      <c r="I9" s="239"/>
      <c r="J9" s="239"/>
    </row>
    <row r="10" spans="1:10" x14ac:dyDescent="0.2">
      <c r="A10" s="888" t="s">
        <v>67</v>
      </c>
      <c r="B10" s="889"/>
      <c r="C10" s="297"/>
      <c r="D10" s="297"/>
      <c r="E10" s="297"/>
      <c r="F10" s="297"/>
      <c r="G10" s="297"/>
      <c r="H10" s="297"/>
      <c r="I10" s="239"/>
      <c r="J10" s="239"/>
    </row>
    <row r="11" spans="1:10" x14ac:dyDescent="0.2">
      <c r="A11" s="912" t="s">
        <v>68</v>
      </c>
      <c r="B11" s="913"/>
      <c r="C11" s="318"/>
      <c r="D11" s="318"/>
      <c r="E11" s="318"/>
      <c r="F11" s="318"/>
      <c r="G11" s="318"/>
      <c r="H11" s="318"/>
      <c r="I11" s="239"/>
      <c r="J11" s="239"/>
    </row>
    <row r="12" spans="1:10" x14ac:dyDescent="0.2">
      <c r="A12" s="321"/>
      <c r="B12" s="321"/>
      <c r="C12" s="143">
        <f t="shared" ref="C12:H12" si="1">IF((C8+C9)=0,0,IF(AND((C8-C10)&gt;=0,(C9-C11)&gt;=0),(C8+C9-C10-C11),IF(AND((C8-C10)&gt;0,(C9-C11)&lt;0),(C8-C10),IF(AND((C8-C10)&lt;0,(C9-C11)&gt;0),(C9-C11),IF((C8-C10)&gt;0,(C8-C10),IF((C8-C10)&lt;0,0))))))</f>
        <v>0</v>
      </c>
      <c r="D12" s="143">
        <f t="shared" si="1"/>
        <v>0</v>
      </c>
      <c r="E12" s="143">
        <f t="shared" si="1"/>
        <v>0</v>
      </c>
      <c r="F12" s="143">
        <f t="shared" si="1"/>
        <v>0</v>
      </c>
      <c r="G12" s="143">
        <f t="shared" si="1"/>
        <v>0</v>
      </c>
      <c r="H12" s="143">
        <f t="shared" si="1"/>
        <v>0</v>
      </c>
      <c r="I12" s="239"/>
      <c r="J12" s="239"/>
    </row>
    <row r="13" spans="1:10" x14ac:dyDescent="0.2">
      <c r="A13" s="892" t="s">
        <v>70</v>
      </c>
      <c r="B13" s="893"/>
      <c r="C13" s="297"/>
      <c r="D13" s="297"/>
      <c r="E13" s="297"/>
      <c r="F13" s="297"/>
      <c r="G13" s="297"/>
      <c r="H13" s="297"/>
      <c r="I13" s="239"/>
      <c r="J13" s="239"/>
    </row>
    <row r="14" spans="1:10" x14ac:dyDescent="0.2">
      <c r="A14" s="886" t="s">
        <v>38</v>
      </c>
      <c r="B14" s="887"/>
      <c r="C14" s="298"/>
      <c r="D14" s="298"/>
      <c r="E14" s="298"/>
      <c r="F14" s="298"/>
      <c r="G14" s="298"/>
      <c r="H14" s="298"/>
      <c r="I14" s="239"/>
      <c r="J14" s="239"/>
    </row>
    <row r="15" spans="1:10" x14ac:dyDescent="0.2">
      <c r="A15" s="888" t="s">
        <v>67</v>
      </c>
      <c r="B15" s="889"/>
      <c r="C15" s="323"/>
      <c r="D15" s="297"/>
      <c r="E15" s="297"/>
      <c r="F15" s="297"/>
      <c r="G15" s="297"/>
      <c r="H15" s="297"/>
      <c r="I15" s="239"/>
      <c r="J15" s="239"/>
    </row>
    <row r="16" spans="1:10" x14ac:dyDescent="0.2">
      <c r="A16" s="912" t="s">
        <v>68</v>
      </c>
      <c r="B16" s="913"/>
      <c r="C16" s="324"/>
      <c r="D16" s="325"/>
      <c r="E16" s="325"/>
      <c r="F16" s="325"/>
      <c r="G16" s="325"/>
      <c r="H16" s="325"/>
      <c r="I16" s="239"/>
      <c r="J16" s="239"/>
    </row>
    <row r="17" spans="1:10" x14ac:dyDescent="0.2">
      <c r="A17" s="321"/>
      <c r="B17" s="321"/>
      <c r="C17" s="143">
        <f t="shared" ref="C17:H17" si="2">IF((C13+C14)=0,0,IF(AND((C13-C15)&gt;=0,(C14-C16)&gt;=0),(C13+C14-C15-C16),IF(AND((C13-C15)&gt;0,(C14-C16)&lt;0),(C13-C15),IF(AND((C13-C15)&lt;0,(C14-C16)&gt;0),(C14-C16),IF((C13-C15)&gt;0,(C13-C15),IF((C13-C15)&lt;0,0))))))</f>
        <v>0</v>
      </c>
      <c r="D17" s="143">
        <f t="shared" si="2"/>
        <v>0</v>
      </c>
      <c r="E17" s="143">
        <f t="shared" si="2"/>
        <v>0</v>
      </c>
      <c r="F17" s="143">
        <f t="shared" si="2"/>
        <v>0</v>
      </c>
      <c r="G17" s="143">
        <f t="shared" si="2"/>
        <v>0</v>
      </c>
      <c r="H17" s="143">
        <f t="shared" si="2"/>
        <v>0</v>
      </c>
      <c r="I17" s="239"/>
      <c r="J17" s="239"/>
    </row>
    <row r="18" spans="1:10" x14ac:dyDescent="0.2">
      <c r="A18" s="892" t="s">
        <v>516</v>
      </c>
      <c r="B18" s="893"/>
      <c r="C18" s="328"/>
      <c r="D18" s="328"/>
      <c r="E18" s="328"/>
      <c r="F18" s="328"/>
      <c r="G18" s="328"/>
      <c r="H18" s="328"/>
      <c r="I18" s="239"/>
      <c r="J18" s="239"/>
    </row>
    <row r="19" spans="1:10" x14ac:dyDescent="0.2">
      <c r="A19" s="607"/>
      <c r="B19" s="608" t="s">
        <v>517</v>
      </c>
      <c r="C19" s="609"/>
      <c r="D19" s="609"/>
      <c r="E19" s="609"/>
      <c r="F19" s="609"/>
      <c r="G19" s="609"/>
      <c r="H19" s="609"/>
      <c r="I19" s="239"/>
      <c r="J19" s="239"/>
    </row>
    <row r="20" spans="1:10" x14ac:dyDescent="0.2">
      <c r="A20" s="886" t="s">
        <v>515</v>
      </c>
      <c r="B20" s="887"/>
      <c r="C20" s="362"/>
      <c r="D20" s="362"/>
      <c r="E20" s="362"/>
      <c r="F20" s="362"/>
      <c r="G20" s="362"/>
      <c r="H20" s="362"/>
      <c r="I20" s="239"/>
      <c r="J20" s="239"/>
    </row>
    <row r="21" spans="1:10" x14ac:dyDescent="0.2">
      <c r="A21" s="888" t="s">
        <v>67</v>
      </c>
      <c r="B21" s="889"/>
      <c r="C21" s="323"/>
      <c r="D21" s="328"/>
      <c r="E21" s="328"/>
      <c r="F21" s="328"/>
      <c r="G21" s="328"/>
      <c r="H21" s="328"/>
      <c r="I21" s="239"/>
      <c r="J21" s="239"/>
    </row>
    <row r="22" spans="1:10" x14ac:dyDescent="0.2">
      <c r="A22" s="912" t="s">
        <v>68</v>
      </c>
      <c r="B22" s="913"/>
      <c r="C22" s="329"/>
      <c r="D22" s="318"/>
      <c r="E22" s="318"/>
      <c r="F22" s="318"/>
      <c r="G22" s="318"/>
      <c r="H22" s="318"/>
      <c r="I22" s="239"/>
      <c r="J22" s="239"/>
    </row>
    <row r="23" spans="1:10" s="614" customFormat="1" x14ac:dyDescent="0.2">
      <c r="A23" s="615"/>
      <c r="B23" s="615"/>
      <c r="C23" s="143">
        <f>IF((C18+C19+C20)=0,0,IF(AND((C18+C19-C21)&gt;=0,(C20-C22)&gt;=0),(C18+C19+C20-C21-C22),IF(AND((C18+C19-C21)&gt;0,(C20-C22)&lt;0),(C18+C19-C21),IF(AND((C18+C19-C21)&lt;0,(C20-C22)&gt;0),(C20-C22),IF((C18+C19-C21)&gt;0,(C18+C19-C21),IF((C18+C19-C21)&lt;0,0))))))</f>
        <v>0</v>
      </c>
      <c r="D23" s="143">
        <f t="shared" ref="D23:H23" si="3">IF((D18+D19+D20)=0,0,IF(AND((D18+D19-D21)&gt;=0,(D20-D22)&gt;=0),(D18+D19+D20-D21-D22),IF(AND((D18+D19-D21)&gt;0,(D20-D22)&lt;0),(D18+D19-D21),IF(AND((D18+D19-D21)&lt;0,(D20-D22)&gt;0),(D20-D22),IF((D18+D19-D21)&gt;0,(D18+D19-D21),IF((D18+D19-D21)&lt;0,0))))))</f>
        <v>0</v>
      </c>
      <c r="E23" s="143">
        <f t="shared" si="3"/>
        <v>0</v>
      </c>
      <c r="F23" s="143">
        <f t="shared" si="3"/>
        <v>0</v>
      </c>
      <c r="G23" s="143">
        <f t="shared" si="3"/>
        <v>0</v>
      </c>
      <c r="H23" s="143">
        <f t="shared" si="3"/>
        <v>0</v>
      </c>
      <c r="I23" s="84"/>
      <c r="J23" s="84"/>
    </row>
    <row r="24" spans="1:10" x14ac:dyDescent="0.2">
      <c r="A24" s="892" t="s">
        <v>71</v>
      </c>
      <c r="B24" s="893"/>
      <c r="C24" s="297"/>
      <c r="D24" s="297"/>
      <c r="E24" s="297"/>
      <c r="F24" s="297"/>
      <c r="G24" s="297"/>
      <c r="H24" s="297"/>
      <c r="I24" s="239"/>
      <c r="J24" s="239"/>
    </row>
    <row r="25" spans="1:10" x14ac:dyDescent="0.2">
      <c r="A25" s="886" t="s">
        <v>38</v>
      </c>
      <c r="B25" s="887"/>
      <c r="C25" s="298"/>
      <c r="D25" s="298"/>
      <c r="E25" s="298"/>
      <c r="F25" s="298"/>
      <c r="G25" s="298"/>
      <c r="H25" s="298"/>
      <c r="I25" s="239"/>
      <c r="J25" s="239"/>
    </row>
    <row r="26" spans="1:10" x14ac:dyDescent="0.2">
      <c r="A26" s="888" t="s">
        <v>67</v>
      </c>
      <c r="B26" s="889"/>
      <c r="C26" s="323"/>
      <c r="D26" s="297"/>
      <c r="E26" s="297"/>
      <c r="F26" s="297"/>
      <c r="G26" s="297"/>
      <c r="H26" s="297"/>
      <c r="I26" s="239"/>
      <c r="J26" s="239"/>
    </row>
    <row r="27" spans="1:10" x14ac:dyDescent="0.2">
      <c r="A27" s="890" t="s">
        <v>68</v>
      </c>
      <c r="B27" s="891"/>
      <c r="C27" s="329"/>
      <c r="D27" s="318"/>
      <c r="E27" s="318"/>
      <c r="F27" s="318"/>
      <c r="G27" s="318"/>
      <c r="H27" s="318"/>
      <c r="I27" s="239"/>
      <c r="J27" s="239"/>
    </row>
    <row r="28" spans="1:10" x14ac:dyDescent="0.2">
      <c r="A28" s="331"/>
      <c r="B28" s="330"/>
      <c r="C28" s="144">
        <f t="shared" ref="C28:H28" si="4">IF((C24+C25)=0,0,IF(AND((C24-C26)&gt;=0,(C25-C27)&gt;=0),(C24+C25-C26-C27),IF(AND((C24-C26)&gt;0,(C25-C27)&lt;0),(C24-C26),IF(AND((C24-C26)&lt;0,(C25-C27)&gt;0),(C25-C27),IF((C24-C26)&gt;0,(C24-C26),IF((C24-C26)&lt;0,0))))))</f>
        <v>0</v>
      </c>
      <c r="D28" s="144">
        <f t="shared" si="4"/>
        <v>0</v>
      </c>
      <c r="E28" s="144">
        <f t="shared" si="4"/>
        <v>0</v>
      </c>
      <c r="F28" s="144">
        <f t="shared" si="4"/>
        <v>0</v>
      </c>
      <c r="G28" s="144">
        <f t="shared" si="4"/>
        <v>0</v>
      </c>
      <c r="H28" s="144">
        <f t="shared" si="4"/>
        <v>0</v>
      </c>
      <c r="I28" s="239"/>
      <c r="J28" s="239"/>
    </row>
    <row r="29" spans="1:10" s="614" customFormat="1" x14ac:dyDescent="0.2">
      <c r="A29" s="84"/>
      <c r="B29" s="616"/>
      <c r="C29" s="616">
        <f>IF(AND(C18&gt;0,AS!C53&gt;0),C18,0)</f>
        <v>0</v>
      </c>
      <c r="D29" s="616">
        <f>IF(AND(D18&gt;0,AS!D53&gt;0),D18,0)</f>
        <v>0</v>
      </c>
      <c r="E29" s="616">
        <f>IF(AND(E18&gt;0,AS!E53&gt;0),E18,0)</f>
        <v>0</v>
      </c>
      <c r="F29" s="616">
        <f>IF(AND(F18&gt;0,AS!F53&gt;0),F18,0)</f>
        <v>0</v>
      </c>
      <c r="G29" s="616">
        <f>IF(AND(G18&gt;0,AS!G53&gt;0),G18,0)</f>
        <v>0</v>
      </c>
      <c r="H29" s="616">
        <f>IF(AND(H18&gt;0,AS!H53&gt;0),H18,0)</f>
        <v>0</v>
      </c>
      <c r="I29" s="84"/>
      <c r="J29" s="84"/>
    </row>
    <row r="30" spans="1:10" x14ac:dyDescent="0.2">
      <c r="A30" s="239"/>
      <c r="B30" s="1044"/>
      <c r="C30" s="1044"/>
      <c r="D30" s="409"/>
      <c r="E30" s="409"/>
      <c r="F30" s="409"/>
      <c r="G30" s="409"/>
      <c r="H30" s="409"/>
      <c r="I30" s="239"/>
      <c r="J30" s="239"/>
    </row>
    <row r="31" spans="1:10" x14ac:dyDescent="0.2">
      <c r="A31" s="239"/>
      <c r="B31" s="1045"/>
      <c r="C31" s="1045"/>
      <c r="D31" s="334"/>
      <c r="E31" s="334"/>
      <c r="F31" s="334"/>
      <c r="G31" s="334"/>
      <c r="H31" s="334"/>
      <c r="I31" s="239"/>
      <c r="J31" s="239"/>
    </row>
    <row r="32" spans="1:10" x14ac:dyDescent="0.2">
      <c r="A32" s="239"/>
      <c r="B32" s="1045"/>
      <c r="C32" s="1045"/>
      <c r="D32" s="334"/>
      <c r="E32" s="334"/>
      <c r="F32" s="334"/>
      <c r="G32" s="334"/>
      <c r="H32" s="334"/>
      <c r="I32" s="239"/>
      <c r="J32" s="239"/>
    </row>
    <row r="33" spans="1:10" x14ac:dyDescent="0.2">
      <c r="A33" s="239"/>
      <c r="B33" s="332"/>
      <c r="C33" s="332"/>
      <c r="D33" s="334"/>
      <c r="E33" s="334"/>
      <c r="F33" s="334"/>
      <c r="G33" s="334"/>
      <c r="H33" s="334"/>
      <c r="I33" s="239"/>
      <c r="J33" s="239"/>
    </row>
    <row r="34" spans="1:10" x14ac:dyDescent="0.2">
      <c r="A34" s="239"/>
      <c r="B34" s="239"/>
      <c r="C34" s="239"/>
      <c r="D34" s="239"/>
      <c r="E34" s="239"/>
      <c r="F34" s="239"/>
      <c r="G34" s="239"/>
      <c r="H34" s="239"/>
      <c r="I34" s="239"/>
      <c r="J34" s="239"/>
    </row>
    <row r="35" spans="1:10" x14ac:dyDescent="0.2">
      <c r="A35" s="239"/>
      <c r="B35" s="239"/>
      <c r="C35" s="239"/>
      <c r="D35" s="239"/>
      <c r="E35" s="239"/>
      <c r="F35" s="239"/>
      <c r="G35" s="239"/>
      <c r="H35" s="239"/>
      <c r="I35" s="239"/>
      <c r="J35" s="239"/>
    </row>
    <row r="36" spans="1:10" x14ac:dyDescent="0.2">
      <c r="A36" s="239"/>
      <c r="B36" s="239"/>
      <c r="C36" s="239"/>
      <c r="D36" s="239"/>
      <c r="E36" s="239"/>
      <c r="F36" s="239"/>
      <c r="G36" s="239"/>
      <c r="H36" s="239"/>
      <c r="I36" s="239"/>
      <c r="J36" s="239"/>
    </row>
    <row r="37" spans="1:10" ht="15" x14ac:dyDescent="0.25">
      <c r="A37" s="931" t="s">
        <v>29</v>
      </c>
      <c r="B37" s="932"/>
      <c r="C37" s="255" t="e">
        <f>EDATE(BG!D2,-6)</f>
        <v>#NUM!</v>
      </c>
      <c r="D37" s="255" t="e">
        <f>EDATE(BG!D2,-5)</f>
        <v>#NUM!</v>
      </c>
      <c r="E37" s="255" t="e">
        <f>EDATE(BG!D2,-4)</f>
        <v>#NUM!</v>
      </c>
      <c r="F37" s="255" t="e">
        <f>EDATE(BG!D2,-3)</f>
        <v>#NUM!</v>
      </c>
      <c r="G37" s="255" t="e">
        <f>EDATE(BG!D2,-2)</f>
        <v>#NUM!</v>
      </c>
      <c r="H37" s="255" t="e">
        <f>EDATE(BG!D2,-1)</f>
        <v>#NUM!</v>
      </c>
      <c r="I37" s="239"/>
      <c r="J37" s="239"/>
    </row>
    <row r="38" spans="1:10" x14ac:dyDescent="0.2">
      <c r="A38" s="896" t="s">
        <v>73</v>
      </c>
      <c r="B38" s="897"/>
      <c r="C38" s="333"/>
      <c r="D38" s="333"/>
      <c r="E38" s="333"/>
      <c r="F38" s="333"/>
      <c r="G38" s="333"/>
      <c r="H38" s="333"/>
      <c r="I38" s="239"/>
      <c r="J38" s="239"/>
    </row>
    <row r="39" spans="1:10" x14ac:dyDescent="0.2">
      <c r="A39" s="868" t="s">
        <v>74</v>
      </c>
      <c r="B39" s="869"/>
      <c r="C39" s="333"/>
      <c r="D39" s="333"/>
      <c r="E39" s="333"/>
      <c r="F39" s="333"/>
      <c r="G39" s="333"/>
      <c r="H39" s="333"/>
      <c r="I39" s="239"/>
      <c r="J39" s="239"/>
    </row>
    <row r="40" spans="1:10" x14ac:dyDescent="0.2">
      <c r="A40" s="239"/>
      <c r="B40" s="239"/>
      <c r="C40" s="239"/>
      <c r="D40" s="239"/>
      <c r="E40" s="239"/>
      <c r="F40" s="239"/>
      <c r="G40" s="239"/>
      <c r="H40" s="239"/>
      <c r="I40" s="239"/>
      <c r="J40" s="239"/>
    </row>
    <row r="41" spans="1:10" x14ac:dyDescent="0.2">
      <c r="A41" s="1046" t="s">
        <v>252</v>
      </c>
      <c r="B41" s="1047"/>
      <c r="C41" s="363"/>
      <c r="D41" s="363"/>
      <c r="E41" s="363"/>
      <c r="F41" s="363"/>
      <c r="G41" s="363"/>
      <c r="H41" s="363"/>
      <c r="I41" s="239"/>
      <c r="J41" s="239"/>
    </row>
    <row r="42" spans="1:10" x14ac:dyDescent="0.2">
      <c r="A42" s="1042" t="s">
        <v>313</v>
      </c>
      <c r="B42" s="1043"/>
      <c r="C42" s="294"/>
      <c r="D42" s="294"/>
      <c r="E42" s="294"/>
      <c r="F42" s="294"/>
      <c r="G42" s="294"/>
      <c r="H42" s="410"/>
      <c r="I42" s="239"/>
      <c r="J42" s="239"/>
    </row>
    <row r="43" spans="1:10" x14ac:dyDescent="0.2">
      <c r="A43" s="884" t="s">
        <v>314</v>
      </c>
      <c r="B43" s="885"/>
      <c r="C43" s="336"/>
      <c r="D43" s="336"/>
      <c r="E43" s="336"/>
      <c r="F43" s="336"/>
      <c r="G43" s="336"/>
      <c r="H43" s="336"/>
      <c r="I43" s="239"/>
      <c r="J43" s="239"/>
    </row>
    <row r="44" spans="1:10" x14ac:dyDescent="0.2">
      <c r="A44" s="880" t="s">
        <v>495</v>
      </c>
      <c r="B44" s="881"/>
      <c r="C44" s="339"/>
      <c r="D44" s="339"/>
      <c r="E44" s="339"/>
      <c r="F44" s="339"/>
      <c r="G44" s="339"/>
      <c r="H44" s="339"/>
      <c r="I44" s="239"/>
      <c r="J44" s="239"/>
    </row>
    <row r="45" spans="1:10" x14ac:dyDescent="0.2">
      <c r="A45" s="882" t="s">
        <v>316</v>
      </c>
      <c r="B45" s="883"/>
      <c r="C45" s="339"/>
      <c r="D45" s="339"/>
      <c r="E45" s="339"/>
      <c r="F45" s="339"/>
      <c r="G45" s="339"/>
      <c r="H45" s="339"/>
      <c r="I45" s="239"/>
      <c r="J45" s="239"/>
    </row>
    <row r="46" spans="1:10" x14ac:dyDescent="0.2">
      <c r="A46" s="870" t="s">
        <v>317</v>
      </c>
      <c r="B46" s="871"/>
      <c r="C46" s="340" t="e">
        <f t="shared" ref="C46:H46" si="5">IF(AND(C96=0,C41&gt;0,C61&gt;17),30,0)</f>
        <v>#NUM!</v>
      </c>
      <c r="D46" s="340" t="e">
        <f t="shared" si="5"/>
        <v>#NUM!</v>
      </c>
      <c r="E46" s="340" t="e">
        <f t="shared" si="5"/>
        <v>#NUM!</v>
      </c>
      <c r="F46" s="340" t="e">
        <f t="shared" si="5"/>
        <v>#NUM!</v>
      </c>
      <c r="G46" s="340" t="e">
        <f t="shared" si="5"/>
        <v>#NUM!</v>
      </c>
      <c r="H46" s="340" t="e">
        <f t="shared" si="5"/>
        <v>#NUM!</v>
      </c>
      <c r="I46" s="239"/>
      <c r="J46" s="239"/>
    </row>
    <row r="47" spans="1:10" x14ac:dyDescent="0.2">
      <c r="A47" s="872" t="s">
        <v>58</v>
      </c>
      <c r="B47" s="872"/>
      <c r="C47" s="364"/>
      <c r="D47" s="364"/>
      <c r="E47" s="364"/>
      <c r="F47" s="364"/>
      <c r="G47" s="364"/>
      <c r="H47" s="364"/>
      <c r="I47" s="239"/>
      <c r="J47" s="239"/>
    </row>
    <row r="48" spans="1:10" x14ac:dyDescent="0.2">
      <c r="A48" s="873" t="s">
        <v>318</v>
      </c>
      <c r="B48" s="874"/>
      <c r="C48" s="336"/>
      <c r="D48" s="336"/>
      <c r="E48" s="336"/>
      <c r="F48" s="336"/>
      <c r="G48" s="336"/>
      <c r="H48" s="336"/>
      <c r="I48" s="239"/>
      <c r="J48" s="239"/>
    </row>
    <row r="49" spans="1:10" x14ac:dyDescent="0.2">
      <c r="A49" s="810" t="s">
        <v>319</v>
      </c>
      <c r="B49" s="810"/>
      <c r="C49" s="337"/>
      <c r="D49" s="337"/>
      <c r="E49" s="337"/>
      <c r="F49" s="337"/>
      <c r="G49" s="337"/>
      <c r="H49" s="337"/>
      <c r="I49" s="239"/>
      <c r="J49" s="239"/>
    </row>
    <row r="50" spans="1:10" x14ac:dyDescent="0.2">
      <c r="A50" s="810" t="s">
        <v>320</v>
      </c>
      <c r="B50" s="810"/>
      <c r="C50" s="287">
        <f t="shared" ref="C50:H50" si="6">IF(C41=ISBLANK(0),0,IF(C96&gt;0,SUM(C43:C49),IF(C96=0,IF(SUM(C43:C49)&lt;100,100,SUM(C43:C49)))))</f>
        <v>0</v>
      </c>
      <c r="D50" s="287">
        <f t="shared" si="6"/>
        <v>0</v>
      </c>
      <c r="E50" s="287">
        <f t="shared" si="6"/>
        <v>0</v>
      </c>
      <c r="F50" s="287">
        <f t="shared" si="6"/>
        <v>0</v>
      </c>
      <c r="G50" s="287">
        <f t="shared" si="6"/>
        <v>0</v>
      </c>
      <c r="H50" s="287">
        <f t="shared" si="6"/>
        <v>0</v>
      </c>
      <c r="I50" s="239"/>
      <c r="J50" s="239"/>
    </row>
    <row r="51" spans="1:10" x14ac:dyDescent="0.2">
      <c r="A51" s="810" t="s">
        <v>322</v>
      </c>
      <c r="B51" s="810"/>
      <c r="C51" s="287">
        <f t="shared" ref="C51:H51" si="7">IF(C41-C50&lt;0,0,C41-C50)</f>
        <v>0</v>
      </c>
      <c r="D51" s="287">
        <f t="shared" si="7"/>
        <v>0</v>
      </c>
      <c r="E51" s="287">
        <f t="shared" si="7"/>
        <v>0</v>
      </c>
      <c r="F51" s="287">
        <f t="shared" si="7"/>
        <v>0</v>
      </c>
      <c r="G51" s="287">
        <f t="shared" si="7"/>
        <v>0</v>
      </c>
      <c r="H51" s="287">
        <f t="shared" si="7"/>
        <v>0</v>
      </c>
      <c r="I51" s="239"/>
      <c r="J51" s="239"/>
    </row>
    <row r="52" spans="1:10" x14ac:dyDescent="0.2">
      <c r="A52" s="866" t="s">
        <v>321</v>
      </c>
      <c r="B52" s="867"/>
      <c r="C52" s="365"/>
      <c r="D52" s="365"/>
      <c r="E52" s="365"/>
      <c r="F52" s="365"/>
      <c r="G52" s="365"/>
      <c r="H52" s="365"/>
      <c r="I52" s="239"/>
      <c r="J52" s="239"/>
    </row>
    <row r="53" spans="1:10" x14ac:dyDescent="0.2">
      <c r="A53" s="868" t="s">
        <v>68</v>
      </c>
      <c r="B53" s="869"/>
      <c r="C53" s="333"/>
      <c r="D53" s="333"/>
      <c r="E53" s="333"/>
      <c r="F53" s="333"/>
      <c r="G53" s="333"/>
      <c r="H53" s="333"/>
      <c r="I53" s="239"/>
      <c r="J53" s="239"/>
    </row>
    <row r="54" spans="1:10" x14ac:dyDescent="0.2">
      <c r="A54" s="239"/>
      <c r="B54" s="239"/>
      <c r="C54" s="93">
        <f t="shared" ref="C54:H54" si="8">IF((C52-C53)&lt;0,0,(C52-C53))</f>
        <v>0</v>
      </c>
      <c r="D54" s="93">
        <f t="shared" si="8"/>
        <v>0</v>
      </c>
      <c r="E54" s="93">
        <f t="shared" si="8"/>
        <v>0</v>
      </c>
      <c r="F54" s="93">
        <f t="shared" si="8"/>
        <v>0</v>
      </c>
      <c r="G54" s="93">
        <f t="shared" si="8"/>
        <v>0</v>
      </c>
      <c r="H54" s="93">
        <f t="shared" si="8"/>
        <v>0</v>
      </c>
      <c r="I54" s="239"/>
      <c r="J54" s="239"/>
    </row>
    <row r="55" spans="1:10" x14ac:dyDescent="0.2">
      <c r="A55" s="239"/>
      <c r="B55" s="239"/>
      <c r="C55" s="93">
        <f t="shared" ref="C55:H55" si="9">IF(C38-C39&lt;0,0,C38-C39)</f>
        <v>0</v>
      </c>
      <c r="D55" s="93">
        <f t="shared" si="9"/>
        <v>0</v>
      </c>
      <c r="E55" s="93">
        <f t="shared" si="9"/>
        <v>0</v>
      </c>
      <c r="F55" s="93">
        <f t="shared" si="9"/>
        <v>0</v>
      </c>
      <c r="G55" s="93">
        <f t="shared" si="9"/>
        <v>0</v>
      </c>
      <c r="H55" s="93">
        <f t="shared" si="9"/>
        <v>0</v>
      </c>
      <c r="I55" s="239"/>
      <c r="J55" s="239"/>
    </row>
    <row r="56" spans="1:10" ht="15" x14ac:dyDescent="0.25">
      <c r="A56" s="902" t="s">
        <v>75</v>
      </c>
      <c r="B56" s="902"/>
      <c r="C56" s="342" t="s">
        <v>323</v>
      </c>
      <c r="D56" s="309"/>
      <c r="E56" s="309"/>
      <c r="F56" s="309"/>
      <c r="G56" s="309"/>
      <c r="H56" s="309"/>
      <c r="I56" s="239"/>
      <c r="J56" s="239"/>
    </row>
    <row r="57" spans="1:10" x14ac:dyDescent="0.2">
      <c r="A57" s="903" t="s">
        <v>56</v>
      </c>
      <c r="B57" s="903"/>
      <c r="C57" s="308"/>
      <c r="D57" s="308"/>
      <c r="E57" s="308"/>
      <c r="F57" s="308"/>
      <c r="G57" s="308"/>
      <c r="H57" s="308"/>
      <c r="I57" s="239"/>
      <c r="J57" s="239"/>
    </row>
    <row r="58" spans="1:10" x14ac:dyDescent="0.2">
      <c r="A58" s="903" t="s">
        <v>57</v>
      </c>
      <c r="B58" s="903"/>
      <c r="C58" s="308"/>
      <c r="D58" s="308"/>
      <c r="E58" s="308"/>
      <c r="F58" s="308"/>
      <c r="G58" s="308"/>
      <c r="H58" s="308"/>
      <c r="I58" s="239"/>
      <c r="J58" s="239"/>
    </row>
    <row r="59" spans="1:10" x14ac:dyDescent="0.2">
      <c r="A59" s="903" t="s">
        <v>58</v>
      </c>
      <c r="B59" s="903"/>
      <c r="C59" s="308"/>
      <c r="D59" s="308"/>
      <c r="E59" s="308"/>
      <c r="F59" s="308"/>
      <c r="G59" s="308"/>
      <c r="H59" s="308"/>
      <c r="I59" s="239"/>
      <c r="J59" s="239"/>
    </row>
    <row r="60" spans="1:10" x14ac:dyDescent="0.2">
      <c r="A60" s="903" t="s">
        <v>76</v>
      </c>
      <c r="B60" s="903"/>
      <c r="C60" s="343">
        <f>IF(C61&lt;18,0,IF(C46=30,0,IF((C75+C76+H78)&gt;0,0,IF(C96=0,30,IF(C96&gt;0,0)))))</f>
        <v>0</v>
      </c>
      <c r="D60" s="343">
        <f>IF(D61&lt;18,0,IF(D46=30,0,IF((D75+D76+H78)&gt;0,0,IF(D96=0,30,IF(D96&gt;0,0)))))</f>
        <v>0</v>
      </c>
      <c r="E60" s="343">
        <f>IF(E61&lt;18,0,IF(E46=30,0,IF((E75+E76+H78)&gt;0,0,IF(E96=0,30,IF(E96&gt;0,0)))))</f>
        <v>0</v>
      </c>
      <c r="F60" s="343">
        <f>IF(F61&lt;18,0,IF(F46=30,0,IF((F75+F76+H78)&gt;0,0,IF(F96=0,30,IF(F96&gt;0,0)))))</f>
        <v>0</v>
      </c>
      <c r="G60" s="343">
        <f>IF(G61&lt;18,0,IF(G46=30,0,IF((G75+G76+H78)&gt;0,0,IF(G96=0,30,IF(G96&gt;0,0)))))</f>
        <v>0</v>
      </c>
      <c r="H60" s="343">
        <f>IF(H61&lt;18,0,IF(H46=30,0,IF((H75+H76+H78)&gt;0,0,IF(H96=0,30,IF(H96&gt;0,0)))))</f>
        <v>0</v>
      </c>
      <c r="I60" s="239"/>
      <c r="J60" s="239"/>
    </row>
    <row r="61" spans="1:10" x14ac:dyDescent="0.2">
      <c r="A61" s="239"/>
      <c r="B61" s="239"/>
      <c r="C61" s="84">
        <f>IF(BG!$C$33=ISBLANK(0),0,IF(INT((C37-BG!$C$33)/365.25)&lt;0,0,INT((C37-BG!$C$33)/365.25)))</f>
        <v>0</v>
      </c>
      <c r="D61" s="84">
        <f>IF(BG!$C$33=ISBLANK(0),0,IF(INT((D37-BG!$C$33)/365.25)&lt;0,0,INT((D37-BG!$C$33)/365.25)))</f>
        <v>0</v>
      </c>
      <c r="E61" s="84">
        <f>IF(BG!$C$33=ISBLANK(0),0,IF(INT((E37-BG!$C$33)/365.25)&lt;0,0,INT((E37-BG!$C$33)/365.25)))</f>
        <v>0</v>
      </c>
      <c r="F61" s="84">
        <f>IF(BG!$C$33=ISBLANK(0),0,IF(INT((F37-BG!$C$33)/365.25)&lt;0,0,INT((F37-BG!$C$33)/365.25)))</f>
        <v>0</v>
      </c>
      <c r="G61" s="84">
        <f>IF(BG!$C$33=ISBLANK(0),0,IF(INT((G37-BG!$C$33)/365.25)&lt;0,0,INT((G37-BG!$C$33)/365.25)))</f>
        <v>0</v>
      </c>
      <c r="H61" s="84">
        <f>IF(BG!$C$33=ISBLANK(0),0,IF(INT((H37-BG!$C$33)/365.25)&lt;0,0,INT((H37-BG!$C$33)/365.25)))</f>
        <v>0</v>
      </c>
      <c r="I61" s="239"/>
      <c r="J61" s="239"/>
    </row>
    <row r="62" spans="1:10" x14ac:dyDescent="0.2">
      <c r="A62" s="241"/>
      <c r="B62" s="344" t="s">
        <v>77</v>
      </c>
      <c r="C62" s="97">
        <f t="shared" ref="C62:H62" si="10">C7+C12+C17+C23+C28+C51+C54+C55</f>
        <v>0</v>
      </c>
      <c r="D62" s="97">
        <f t="shared" si="10"/>
        <v>0</v>
      </c>
      <c r="E62" s="97">
        <f t="shared" si="10"/>
        <v>0</v>
      </c>
      <c r="F62" s="97">
        <f t="shared" si="10"/>
        <v>0</v>
      </c>
      <c r="G62" s="97">
        <f t="shared" si="10"/>
        <v>0</v>
      </c>
      <c r="H62" s="97">
        <f t="shared" si="10"/>
        <v>0</v>
      </c>
      <c r="I62" s="258" t="s">
        <v>48</v>
      </c>
      <c r="J62" s="239"/>
    </row>
    <row r="63" spans="1:10" x14ac:dyDescent="0.2">
      <c r="A63" s="345"/>
      <c r="B63" s="346" t="s">
        <v>78</v>
      </c>
      <c r="C63" s="106">
        <f t="shared" ref="C63:H63" si="11">SUM(C57:C60)</f>
        <v>0</v>
      </c>
      <c r="D63" s="106">
        <f t="shared" si="11"/>
        <v>0</v>
      </c>
      <c r="E63" s="106">
        <f t="shared" si="11"/>
        <v>0</v>
      </c>
      <c r="F63" s="106">
        <f t="shared" si="11"/>
        <v>0</v>
      </c>
      <c r="G63" s="106">
        <f t="shared" si="11"/>
        <v>0</v>
      </c>
      <c r="H63" s="106">
        <f t="shared" si="11"/>
        <v>0</v>
      </c>
      <c r="I63" s="347"/>
      <c r="J63" s="239"/>
    </row>
    <row r="64" spans="1:10" x14ac:dyDescent="0.2">
      <c r="A64" s="281"/>
      <c r="B64" s="348" t="s">
        <v>79</v>
      </c>
      <c r="C64" s="296">
        <f t="shared" ref="C64:H64" si="12">IF((C62-C63)&lt;0,0,(C62-C63))</f>
        <v>0</v>
      </c>
      <c r="D64" s="296">
        <f t="shared" si="12"/>
        <v>0</v>
      </c>
      <c r="E64" s="296">
        <f t="shared" si="12"/>
        <v>0</v>
      </c>
      <c r="F64" s="296">
        <f t="shared" si="12"/>
        <v>0</v>
      </c>
      <c r="G64" s="296">
        <f t="shared" si="12"/>
        <v>0</v>
      </c>
      <c r="H64" s="296">
        <f t="shared" si="12"/>
        <v>0</v>
      </c>
      <c r="I64" s="287">
        <f>SUM(C64:H64)</f>
        <v>0</v>
      </c>
      <c r="J64" s="239"/>
    </row>
    <row r="65" spans="1:10" x14ac:dyDescent="0.2">
      <c r="A65" s="239"/>
      <c r="B65" s="239"/>
      <c r="C65" s="239"/>
      <c r="D65" s="239"/>
      <c r="E65" s="239"/>
      <c r="F65" s="239"/>
      <c r="G65" s="239"/>
      <c r="H65" s="239"/>
      <c r="I65" s="239"/>
      <c r="J65" s="239"/>
    </row>
    <row r="66" spans="1:10" x14ac:dyDescent="0.2">
      <c r="A66" s="239"/>
      <c r="B66" s="239"/>
      <c r="C66" s="239"/>
      <c r="D66" s="239"/>
      <c r="E66" s="239"/>
      <c r="F66" s="239"/>
      <c r="G66" s="239"/>
      <c r="H66" s="239"/>
      <c r="I66" s="239"/>
      <c r="J66" s="239"/>
    </row>
    <row r="67" spans="1:10" x14ac:dyDescent="0.2">
      <c r="A67" s="239"/>
      <c r="B67" s="239"/>
      <c r="C67" s="239"/>
      <c r="D67" s="239"/>
      <c r="E67" s="239"/>
      <c r="F67" s="239"/>
      <c r="G67" s="239"/>
      <c r="H67" s="239"/>
      <c r="I67" s="239"/>
      <c r="J67" s="239"/>
    </row>
    <row r="68" spans="1:10" x14ac:dyDescent="0.2">
      <c r="A68" s="239"/>
      <c r="B68" s="239"/>
      <c r="C68" s="239"/>
      <c r="D68" s="239"/>
      <c r="E68" s="239"/>
      <c r="F68" s="239"/>
      <c r="G68" s="239"/>
      <c r="H68" s="239"/>
      <c r="I68" s="239"/>
      <c r="J68" s="239"/>
    </row>
    <row r="69" spans="1:10" x14ac:dyDescent="0.2">
      <c r="A69" s="239"/>
      <c r="B69" s="239"/>
      <c r="C69" s="239"/>
      <c r="D69" s="239"/>
      <c r="E69" s="239"/>
      <c r="F69" s="239"/>
      <c r="G69" s="239"/>
      <c r="H69" s="239"/>
      <c r="I69" s="239"/>
      <c r="J69" s="239"/>
    </row>
    <row r="70" spans="1:10" x14ac:dyDescent="0.2">
      <c r="A70" s="239"/>
      <c r="B70" s="239"/>
      <c r="C70" s="239"/>
      <c r="D70" s="239"/>
      <c r="E70" s="239"/>
      <c r="F70" s="239"/>
      <c r="G70" s="239"/>
      <c r="H70" s="239"/>
      <c r="I70" s="239"/>
      <c r="J70" s="239"/>
    </row>
    <row r="71" spans="1:10" x14ac:dyDescent="0.2">
      <c r="A71" s="239"/>
      <c r="B71" s="239"/>
      <c r="C71" s="239"/>
      <c r="D71" s="239"/>
      <c r="E71" s="239"/>
      <c r="F71" s="239"/>
      <c r="G71" s="239"/>
      <c r="H71" s="239"/>
      <c r="I71" s="239"/>
      <c r="J71" s="239"/>
    </row>
    <row r="72" spans="1:10" ht="15" x14ac:dyDescent="0.25">
      <c r="A72" s="249"/>
      <c r="B72" s="239"/>
      <c r="C72" s="914" t="s">
        <v>46</v>
      </c>
      <c r="D72" s="914"/>
      <c r="E72" s="914"/>
      <c r="F72" s="914"/>
      <c r="G72" s="914"/>
      <c r="H72" s="914"/>
      <c r="I72" s="239"/>
      <c r="J72" s="239"/>
    </row>
    <row r="73" spans="1:10" ht="15" x14ac:dyDescent="0.25">
      <c r="A73" s="915" t="s">
        <v>29</v>
      </c>
      <c r="B73" s="915"/>
      <c r="C73" s="255" t="e">
        <f>EDATE(BG!D2,-6)</f>
        <v>#NUM!</v>
      </c>
      <c r="D73" s="255" t="e">
        <f>EDATE(BG!D2,-5)</f>
        <v>#NUM!</v>
      </c>
      <c r="E73" s="255" t="e">
        <f>EDATE(BG!D2,-4)</f>
        <v>#NUM!</v>
      </c>
      <c r="F73" s="255" t="e">
        <f>EDATE(BG!D2,-3)</f>
        <v>#NUM!</v>
      </c>
      <c r="G73" s="255" t="e">
        <f>EDATE(BG!D2,-2)</f>
        <v>#NUM!</v>
      </c>
      <c r="H73" s="255" t="e">
        <f>EDATE(BG!D2,-1)</f>
        <v>#NUM!</v>
      </c>
      <c r="I73" s="245"/>
      <c r="J73" s="239"/>
    </row>
    <row r="74" spans="1:10" x14ac:dyDescent="0.2">
      <c r="A74" s="1050" t="s">
        <v>596</v>
      </c>
      <c r="B74" s="1051"/>
      <c r="C74" s="366" t="s">
        <v>185</v>
      </c>
      <c r="D74" s="366" t="s">
        <v>185</v>
      </c>
      <c r="E74" s="366" t="s">
        <v>185</v>
      </c>
      <c r="F74" s="366" t="s">
        <v>185</v>
      </c>
      <c r="G74" s="366" t="s">
        <v>185</v>
      </c>
      <c r="H74" s="366" t="s">
        <v>185</v>
      </c>
      <c r="I74" s="345"/>
      <c r="J74" s="332" t="str">
        <f>IF(SUM(C77:H77)&gt;0,"bitte hier"," ")</f>
        <v xml:space="preserve"> </v>
      </c>
    </row>
    <row r="75" spans="1:10" x14ac:dyDescent="0.2">
      <c r="A75" s="916" t="s">
        <v>47</v>
      </c>
      <c r="B75" s="916"/>
      <c r="C75" s="264"/>
      <c r="D75" s="264"/>
      <c r="E75" s="264"/>
      <c r="F75" s="264"/>
      <c r="G75" s="264"/>
      <c r="H75" s="264"/>
      <c r="I75" s="311"/>
      <c r="J75" s="367" t="str">
        <f>IF(SUM(C77:H77)&gt;0,"eintragen"," ")</f>
        <v xml:space="preserve"> </v>
      </c>
    </row>
    <row r="76" spans="1:10" x14ac:dyDescent="0.2">
      <c r="A76" s="917" t="s">
        <v>38</v>
      </c>
      <c r="B76" s="917"/>
      <c r="C76" s="266"/>
      <c r="D76" s="266"/>
      <c r="E76" s="266"/>
      <c r="F76" s="266"/>
      <c r="G76" s="266"/>
      <c r="H76" s="266"/>
      <c r="I76" s="368" t="str">
        <f>IF(SUM(C77:H77)&gt;0,"Beginn d."," ")</f>
        <v xml:space="preserve"> </v>
      </c>
      <c r="J76" s="1052"/>
    </row>
    <row r="77" spans="1:10" x14ac:dyDescent="0.2">
      <c r="A77" s="918" t="s">
        <v>242</v>
      </c>
      <c r="B77" s="918"/>
      <c r="C77" s="369"/>
      <c r="D77" s="369"/>
      <c r="E77" s="369"/>
      <c r="F77" s="369"/>
      <c r="G77" s="369"/>
      <c r="H77" s="369"/>
      <c r="I77" s="370" t="str">
        <f>IF(SUM(C77:H77)&gt;0,"Selbständigkeit:"," ")</f>
        <v xml:space="preserve"> </v>
      </c>
      <c r="J77" s="1053"/>
    </row>
    <row r="78" spans="1:10" x14ac:dyDescent="0.2">
      <c r="A78" s="239"/>
      <c r="B78" s="239"/>
      <c r="C78" s="248"/>
      <c r="D78" s="248"/>
      <c r="E78" s="142" t="s">
        <v>48</v>
      </c>
      <c r="F78" s="83">
        <f>SUM(C77:H77)</f>
        <v>0</v>
      </c>
      <c r="G78" s="81" t="s">
        <v>49</v>
      </c>
      <c r="H78" s="83" t="e">
        <f>ROUND((F78/J81),2)</f>
        <v>#NUM!</v>
      </c>
      <c r="I78" s="411" t="str">
        <f>IF(SUM(C77:H77)&gt;0,"Ende d."," ")</f>
        <v xml:space="preserve"> </v>
      </c>
      <c r="J78" s="1048"/>
    </row>
    <row r="79" spans="1:10" x14ac:dyDescent="0.2">
      <c r="A79" s="921" t="s">
        <v>50</v>
      </c>
      <c r="B79" s="922"/>
      <c r="C79" s="297"/>
      <c r="D79" s="297"/>
      <c r="E79" s="297"/>
      <c r="F79" s="297"/>
      <c r="G79" s="297"/>
      <c r="H79" s="297"/>
      <c r="I79" s="370" t="str">
        <f>IF(SUM(C77:H77)&gt;0,"Selbständigkeit:"," ")</f>
        <v xml:space="preserve"> </v>
      </c>
      <c r="J79" s="1049"/>
    </row>
    <row r="80" spans="1:10" x14ac:dyDescent="0.2">
      <c r="A80" s="923" t="s">
        <v>51</v>
      </c>
      <c r="B80" s="924"/>
      <c r="C80" s="298"/>
      <c r="D80" s="298"/>
      <c r="E80" s="298"/>
      <c r="F80" s="298"/>
      <c r="G80" s="298"/>
      <c r="H80" s="298"/>
      <c r="I80" s="1054" t="str">
        <f>IF(SUM(C77:H77)&gt;0,"Format: MM/JJ"," ")</f>
        <v xml:space="preserve"> </v>
      </c>
      <c r="J80" s="1055"/>
    </row>
    <row r="81" spans="1:10" x14ac:dyDescent="0.2">
      <c r="A81" s="925" t="s">
        <v>52</v>
      </c>
      <c r="B81" s="925"/>
      <c r="C81" s="371"/>
      <c r="D81" s="371"/>
      <c r="E81" s="371"/>
      <c r="F81" s="371"/>
      <c r="G81" s="371"/>
      <c r="H81" s="371"/>
      <c r="I81" s="198" t="e">
        <f>IF(J76&lt;MEG!C6,6,DATEDIF(J76,MEG!E6,"m")+1)</f>
        <v>#NUM!</v>
      </c>
      <c r="J81" s="199" t="e">
        <f>IF(J78=ISBLANK(0),I81,IF(J76=ISBLANK(0),I82,DATEDIF(I84,J84,"m")+1))</f>
        <v>#NUM!</v>
      </c>
    </row>
    <row r="82" spans="1:10" x14ac:dyDescent="0.2">
      <c r="A82" s="1056" t="s">
        <v>54</v>
      </c>
      <c r="B82" s="1056"/>
      <c r="C82" s="413"/>
      <c r="D82" s="413"/>
      <c r="E82" s="413"/>
      <c r="F82" s="413"/>
      <c r="G82" s="413"/>
      <c r="H82" s="413"/>
      <c r="I82" s="198" t="e">
        <f>IF(J78&lt;MEG!C6,6,DATEDIF(MEG!C6,J78,"m")+1)</f>
        <v>#NUM!</v>
      </c>
      <c r="J82" s="199"/>
    </row>
    <row r="83" spans="1:10" x14ac:dyDescent="0.2">
      <c r="A83" s="1057"/>
      <c r="B83" s="1057"/>
      <c r="C83" s="414"/>
      <c r="D83" s="414"/>
      <c r="E83" s="126" t="s">
        <v>48</v>
      </c>
      <c r="F83" s="81" t="s">
        <v>49</v>
      </c>
      <c r="G83" s="90" t="s">
        <v>53</v>
      </c>
      <c r="H83" s="91" t="e">
        <f>IF((H78-F84)&lt;0,0,(H78-F84))</f>
        <v>#NUM!</v>
      </c>
      <c r="I83" s="81"/>
      <c r="J83" s="81"/>
    </row>
    <row r="84" spans="1:10" x14ac:dyDescent="0.2">
      <c r="A84" s="239"/>
      <c r="B84" s="292"/>
      <c r="C84" s="373"/>
      <c r="D84" s="373"/>
      <c r="E84" s="83">
        <f>SUM(C81:H82)</f>
        <v>0</v>
      </c>
      <c r="F84" s="83" t="e">
        <f>ROUND((E84/J81),2)</f>
        <v>#NUM!</v>
      </c>
      <c r="G84" s="373"/>
      <c r="H84" s="374"/>
      <c r="I84" s="179" t="e">
        <f>IF(J76&lt;MEG!C6,MEG!C6,J76)</f>
        <v>#NUM!</v>
      </c>
      <c r="J84" s="179" t="e">
        <f>IF(J78&gt;MEG!E6,MEG!E6,J78)</f>
        <v>#NUM!</v>
      </c>
    </row>
    <row r="85" spans="1:10" x14ac:dyDescent="0.2">
      <c r="A85" s="925" t="s">
        <v>54</v>
      </c>
      <c r="B85" s="925"/>
      <c r="C85" s="302">
        <f t="shared" ref="C85:H85" si="13">SUM(C88,(C86*ROUND(C87,0)*0.2))</f>
        <v>0</v>
      </c>
      <c r="D85" s="302">
        <f t="shared" si="13"/>
        <v>0</v>
      </c>
      <c r="E85" s="302">
        <f t="shared" si="13"/>
        <v>0</v>
      </c>
      <c r="F85" s="302">
        <f t="shared" si="13"/>
        <v>0</v>
      </c>
      <c r="G85" s="302">
        <f t="shared" si="13"/>
        <v>0</v>
      </c>
      <c r="H85" s="302">
        <f t="shared" si="13"/>
        <v>0</v>
      </c>
      <c r="I85" s="203" t="e">
        <f>I84</f>
        <v>#NUM!</v>
      </c>
      <c r="J85" s="179" t="e">
        <f>IF(J78=ISBLANK(0),H73+1,J78)</f>
        <v>#NUM!</v>
      </c>
    </row>
    <row r="86" spans="1:10" x14ac:dyDescent="0.2">
      <c r="A86" s="927" t="s">
        <v>234</v>
      </c>
      <c r="B86" s="928"/>
      <c r="C86" s="375"/>
      <c r="D86" s="375"/>
      <c r="E86" s="375"/>
      <c r="F86" s="375"/>
      <c r="G86" s="375"/>
      <c r="H86" s="375"/>
      <c r="I86" s="202" t="e">
        <f>IF(I84&gt;C73,0,IF(J85&lt;C73,0,H83))</f>
        <v>#NUM!</v>
      </c>
      <c r="J86" s="81"/>
    </row>
    <row r="87" spans="1:10" x14ac:dyDescent="0.2">
      <c r="A87" s="927" t="s">
        <v>235</v>
      </c>
      <c r="B87" s="928"/>
      <c r="C87" s="375"/>
      <c r="D87" s="375"/>
      <c r="E87" s="375"/>
      <c r="F87" s="375"/>
      <c r="G87" s="375"/>
      <c r="H87" s="375"/>
      <c r="I87" s="202" t="e">
        <f>IF(I84&gt;D73,0,IF(J85&lt;D73,0,H83))</f>
        <v>#NUM!</v>
      </c>
      <c r="J87" s="81"/>
    </row>
    <row r="88" spans="1:10" x14ac:dyDescent="0.2">
      <c r="A88" s="929" t="s">
        <v>237</v>
      </c>
      <c r="B88" s="930"/>
      <c r="C88" s="372"/>
      <c r="D88" s="372"/>
      <c r="E88" s="372"/>
      <c r="F88" s="372"/>
      <c r="G88" s="372"/>
      <c r="H88" s="372"/>
      <c r="I88" s="202" t="e">
        <f>IF(I84&gt;E73,0,IF(J85&lt;E73,0,H83))</f>
        <v>#NUM!</v>
      </c>
      <c r="J88" s="81"/>
    </row>
    <row r="89" spans="1:10" x14ac:dyDescent="0.2">
      <c r="A89" s="926" t="s">
        <v>55</v>
      </c>
      <c r="B89" s="926"/>
      <c r="C89" s="305">
        <f t="shared" ref="C89:H89" si="14">C90*C91</f>
        <v>0</v>
      </c>
      <c r="D89" s="305">
        <f t="shared" si="14"/>
        <v>0</v>
      </c>
      <c r="E89" s="305">
        <f t="shared" si="14"/>
        <v>0</v>
      </c>
      <c r="F89" s="305">
        <f t="shared" si="14"/>
        <v>0</v>
      </c>
      <c r="G89" s="305">
        <f t="shared" si="14"/>
        <v>0</v>
      </c>
      <c r="H89" s="305">
        <f t="shared" si="14"/>
        <v>0</v>
      </c>
      <c r="I89" s="202" t="e">
        <f>IF(I84&gt;F73,0,IF(J85&lt;F73,0,H83))</f>
        <v>#NUM!</v>
      </c>
      <c r="J89" s="83"/>
    </row>
    <row r="90" spans="1:10" x14ac:dyDescent="0.2">
      <c r="A90" s="898" t="s">
        <v>238</v>
      </c>
      <c r="B90" s="899"/>
      <c r="C90" s="375"/>
      <c r="D90" s="375"/>
      <c r="E90" s="375"/>
      <c r="F90" s="375"/>
      <c r="G90" s="375"/>
      <c r="H90" s="375"/>
      <c r="I90" s="202" t="e">
        <f>IF(I84&gt;G73,0,IF(J85&lt;G73,0,H83))</f>
        <v>#NUM!</v>
      </c>
      <c r="J90" s="81"/>
    </row>
    <row r="91" spans="1:10" x14ac:dyDescent="0.2">
      <c r="A91" s="942" t="s">
        <v>239</v>
      </c>
      <c r="B91" s="943"/>
      <c r="C91" s="376"/>
      <c r="D91" s="376"/>
      <c r="E91" s="376"/>
      <c r="F91" s="376"/>
      <c r="G91" s="376"/>
      <c r="H91" s="376"/>
      <c r="I91" s="202" t="e">
        <f>IF(I84&gt;H73,0,IF(J85&lt;H73,0,H83))</f>
        <v>#NUM!</v>
      </c>
      <c r="J91" s="81"/>
    </row>
    <row r="92" spans="1:10" x14ac:dyDescent="0.2">
      <c r="A92" s="937" t="s">
        <v>236</v>
      </c>
      <c r="B92" s="938"/>
      <c r="C92" s="307"/>
      <c r="D92" s="307"/>
      <c r="E92" s="307"/>
      <c r="F92" s="307"/>
      <c r="G92" s="307"/>
      <c r="H92" s="307"/>
      <c r="I92" s="356"/>
      <c r="J92" s="84"/>
    </row>
    <row r="93" spans="1:10" x14ac:dyDescent="0.2">
      <c r="A93" s="903" t="s">
        <v>56</v>
      </c>
      <c r="B93" s="903"/>
      <c r="C93" s="307"/>
      <c r="D93" s="307"/>
      <c r="E93" s="307"/>
      <c r="F93" s="307"/>
      <c r="G93" s="307"/>
      <c r="H93" s="307"/>
      <c r="I93" s="311"/>
      <c r="J93" s="239"/>
    </row>
    <row r="94" spans="1:10" x14ac:dyDescent="0.2">
      <c r="A94" s="903" t="s">
        <v>57</v>
      </c>
      <c r="B94" s="903"/>
      <c r="C94" s="307"/>
      <c r="D94" s="307"/>
      <c r="E94" s="307"/>
      <c r="F94" s="307"/>
      <c r="G94" s="307"/>
      <c r="H94" s="307"/>
      <c r="I94" s="311"/>
      <c r="J94" s="239"/>
    </row>
    <row r="95" spans="1:10" x14ac:dyDescent="0.2">
      <c r="A95" s="903" t="s">
        <v>58</v>
      </c>
      <c r="B95" s="903"/>
      <c r="C95" s="308"/>
      <c r="D95" s="308"/>
      <c r="E95" s="308"/>
      <c r="F95" s="308"/>
      <c r="G95" s="308"/>
      <c r="H95" s="308"/>
      <c r="I95" s="311"/>
      <c r="J95" s="239"/>
    </row>
    <row r="96" spans="1:10" x14ac:dyDescent="0.2">
      <c r="A96" s="239"/>
      <c r="B96" s="239"/>
      <c r="C96" s="93" t="e">
        <f>C75+I86</f>
        <v>#NUM!</v>
      </c>
      <c r="D96" s="93" t="e">
        <f>D75+I87</f>
        <v>#NUM!</v>
      </c>
      <c r="E96" s="93" t="e">
        <f>E75+I88</f>
        <v>#NUM!</v>
      </c>
      <c r="F96" s="93" t="e">
        <f>F75+I89</f>
        <v>#NUM!</v>
      </c>
      <c r="G96" s="93" t="e">
        <f>G75+I90</f>
        <v>#NUM!</v>
      </c>
      <c r="H96" s="93" t="e">
        <f>H75+I91</f>
        <v>#NUM!</v>
      </c>
      <c r="I96" s="239"/>
      <c r="J96" s="239"/>
    </row>
    <row r="97" spans="1:10" x14ac:dyDescent="0.2">
      <c r="A97" s="903" t="s">
        <v>59</v>
      </c>
      <c r="B97" s="903"/>
      <c r="C97" s="287" t="e">
        <f>IF(C74="ja",Grundfreibeträge!G88,Grundfreibeträge!F88)</f>
        <v>#NUM!</v>
      </c>
      <c r="D97" s="287" t="e">
        <f>IF(D74="ja",Grundfreibeträge!G89,Grundfreibeträge!F89)</f>
        <v>#NUM!</v>
      </c>
      <c r="E97" s="287" t="e">
        <f>IF(E74="ja",Grundfreibeträge!G90,Grundfreibeträge!F90)</f>
        <v>#NUM!</v>
      </c>
      <c r="F97" s="287" t="e">
        <f>IF(F74="ja",Grundfreibeträge!G91,Grundfreibeträge!F91)</f>
        <v>#NUM!</v>
      </c>
      <c r="G97" s="287" t="e">
        <f>IF(G74="ja",Grundfreibeträge!G92,Grundfreibeträge!F92)</f>
        <v>#NUM!</v>
      </c>
      <c r="H97" s="287" t="e">
        <f>IF(H74="ja",Grundfreibeträge!G93,Grundfreibeträge!F93)</f>
        <v>#NUM!</v>
      </c>
      <c r="I97" s="239"/>
      <c r="J97" s="239"/>
    </row>
    <row r="98" spans="1:10" x14ac:dyDescent="0.2">
      <c r="A98" s="937" t="s">
        <v>597</v>
      </c>
      <c r="B98" s="938"/>
      <c r="C98" s="287" t="e">
        <f>MAX((MIN(C96,520)-C97)*0.2,0)</f>
        <v>#NUM!</v>
      </c>
      <c r="D98" s="287" t="e">
        <f t="shared" ref="D98:H98" si="15">MAX((MIN(D96,520)-D97)*0.2,0)</f>
        <v>#NUM!</v>
      </c>
      <c r="E98" s="287" t="e">
        <f t="shared" si="15"/>
        <v>#NUM!</v>
      </c>
      <c r="F98" s="287" t="e">
        <f t="shared" si="15"/>
        <v>#NUM!</v>
      </c>
      <c r="G98" s="287" t="e">
        <f t="shared" si="15"/>
        <v>#NUM!</v>
      </c>
      <c r="H98" s="287" t="e">
        <f t="shared" si="15"/>
        <v>#NUM!</v>
      </c>
      <c r="I98" s="778"/>
      <c r="J98" s="778"/>
    </row>
    <row r="99" spans="1:10" x14ac:dyDescent="0.2">
      <c r="A99" s="903" t="s">
        <v>60</v>
      </c>
      <c r="B99" s="903"/>
      <c r="C99" s="287" t="e">
        <f>MAX(MIN(C96-520,480)*0.3,0)</f>
        <v>#NUM!</v>
      </c>
      <c r="D99" s="287" t="e">
        <f t="shared" ref="D99:H99" si="16">MAX(MIN(D96-520,480)*0.3,0)</f>
        <v>#NUM!</v>
      </c>
      <c r="E99" s="287" t="e">
        <f t="shared" si="16"/>
        <v>#NUM!</v>
      </c>
      <c r="F99" s="287" t="e">
        <f t="shared" si="16"/>
        <v>#NUM!</v>
      </c>
      <c r="G99" s="287" t="e">
        <f t="shared" si="16"/>
        <v>#NUM!</v>
      </c>
      <c r="H99" s="287" t="e">
        <f t="shared" si="16"/>
        <v>#NUM!</v>
      </c>
      <c r="I99" s="239"/>
      <c r="J99" s="239"/>
    </row>
    <row r="100" spans="1:10" x14ac:dyDescent="0.2">
      <c r="A100" s="903" t="s">
        <v>61</v>
      </c>
      <c r="B100" s="903"/>
      <c r="C100" s="287" t="e">
        <f>IF(Grundfreibeträge!Q6="Kind ü18",Grundfreibeträge!H88,IF(C96&lt;1000,0,IF(C96&gt;=1500,50,ROUND((C96-1000)*10%,2))))</f>
        <v>#NUM!</v>
      </c>
      <c r="D100" s="287" t="e">
        <f>IF(Grundfreibeträge!Q6="Kind ü18",Grundfreibeträge!H89,IF(D96&lt;1000,0,IF(D96&gt;=1500,50,ROUND((D96-1000)*10%,2))))</f>
        <v>#NUM!</v>
      </c>
      <c r="E100" s="287" t="e">
        <f>IF(Grundfreibeträge!Q6="Kind ü18",Grundfreibeträge!H90,IF(E96&lt;1000,0,IF(E96&gt;=1500,50,ROUND((E96-1000)*10%,2))))</f>
        <v>#NUM!</v>
      </c>
      <c r="F100" s="287" t="e">
        <f>IF(Grundfreibeträge!Q6="Kind ü18",Grundfreibeträge!H91,IF(F96&lt;1000,0,IF(F96&gt;=1500,50,ROUND((F96-1000)*10%,2))))</f>
        <v>#NUM!</v>
      </c>
      <c r="G100" s="287" t="e">
        <f>IF(Grundfreibeträge!Q6="Kind ü18",Grundfreibeträge!H92,IF(G96&lt;1000,0,IF(G96&gt;=1500,50,ROUND((G96-1000)*10%,2))))</f>
        <v>#NUM!</v>
      </c>
      <c r="H100" s="287" t="e">
        <f>IF(Grundfreibeträge!Q6="Kind ü18",Grundfreibeträge!H93,IF(H96&lt;1000,0,IF(H96&gt;=1500,50,ROUND((H96-1000)*10%,2))))</f>
        <v>#NUM!</v>
      </c>
      <c r="I100" s="288" t="s">
        <v>48</v>
      </c>
      <c r="J100" s="239"/>
    </row>
    <row r="101" spans="1:10" x14ac:dyDescent="0.2">
      <c r="A101" s="903" t="s">
        <v>62</v>
      </c>
      <c r="B101" s="903"/>
      <c r="C101" s="287" t="e">
        <f>IF(C96=0,0,MAX(C96-C79-C97-C98-C99-C100,0))</f>
        <v>#NUM!</v>
      </c>
      <c r="D101" s="287" t="e">
        <f t="shared" ref="D101:H101" si="17">IF(D96=0,0,MAX(D96-D79-D97-D98-D99-D100,0))</f>
        <v>#NUM!</v>
      </c>
      <c r="E101" s="287" t="e">
        <f t="shared" si="17"/>
        <v>#NUM!</v>
      </c>
      <c r="F101" s="287" t="e">
        <f t="shared" si="17"/>
        <v>#NUM!</v>
      </c>
      <c r="G101" s="287" t="e">
        <f t="shared" si="17"/>
        <v>#NUM!</v>
      </c>
      <c r="H101" s="287" t="e">
        <f t="shared" si="17"/>
        <v>#NUM!</v>
      </c>
      <c r="I101" s="287" t="e">
        <f>SUM(C101:H101)</f>
        <v>#NUM!</v>
      </c>
      <c r="J101" s="239"/>
    </row>
    <row r="102" spans="1:10" x14ac:dyDescent="0.2">
      <c r="A102" s="239"/>
      <c r="B102" s="312"/>
      <c r="C102" s="83" t="e">
        <f>C75+C76+I86</f>
        <v>#NUM!</v>
      </c>
      <c r="D102" s="83" t="e">
        <f>D75+D76+I87</f>
        <v>#NUM!</v>
      </c>
      <c r="E102" s="83" t="e">
        <f>E75+E76+I88</f>
        <v>#NUM!</v>
      </c>
      <c r="F102" s="83" t="e">
        <f>F75+F76+I89</f>
        <v>#NUM!</v>
      </c>
      <c r="G102" s="83" t="e">
        <f>G75+G76+I90</f>
        <v>#NUM!</v>
      </c>
      <c r="H102" s="83" t="e">
        <f>H75+H76+I91</f>
        <v>#NUM!</v>
      </c>
      <c r="I102" s="294"/>
      <c r="J102" s="239"/>
    </row>
    <row r="103" spans="1:10" ht="15" x14ac:dyDescent="0.25">
      <c r="A103" s="239"/>
      <c r="B103" s="239"/>
      <c r="C103" s="83" t="e">
        <f t="shared" ref="C103:H103" si="18">IF(C102=0,0,IF(C102&lt;=100,0,IF(C102&lt;=1000,(C102-100)*20%,IF(C102&gt;1000,180))))</f>
        <v>#NUM!</v>
      </c>
      <c r="D103" s="83" t="e">
        <f t="shared" si="18"/>
        <v>#NUM!</v>
      </c>
      <c r="E103" s="83" t="e">
        <f t="shared" si="18"/>
        <v>#NUM!</v>
      </c>
      <c r="F103" s="83" t="e">
        <f t="shared" si="18"/>
        <v>#NUM!</v>
      </c>
      <c r="G103" s="83" t="e">
        <f t="shared" si="18"/>
        <v>#NUM!</v>
      </c>
      <c r="H103" s="83" t="e">
        <f t="shared" si="18"/>
        <v>#NUM!</v>
      </c>
      <c r="I103" s="313"/>
      <c r="J103" s="239"/>
    </row>
    <row r="104" spans="1:10" ht="15" x14ac:dyDescent="0.25">
      <c r="A104" s="909" t="s">
        <v>63</v>
      </c>
      <c r="B104" s="909"/>
      <c r="C104" s="97" t="e">
        <f t="shared" ref="C104:H104" si="19">IF(C102&lt;1000,0,IF(C102&gt;=1500,50,ROUND((C102-1000)*10%,2)))</f>
        <v>#NUM!</v>
      </c>
      <c r="D104" s="97" t="e">
        <f t="shared" si="19"/>
        <v>#NUM!</v>
      </c>
      <c r="E104" s="97" t="e">
        <f t="shared" si="19"/>
        <v>#NUM!</v>
      </c>
      <c r="F104" s="97" t="e">
        <f t="shared" si="19"/>
        <v>#NUM!</v>
      </c>
      <c r="G104" s="97" t="e">
        <f t="shared" si="19"/>
        <v>#NUM!</v>
      </c>
      <c r="H104" s="97" t="e">
        <f t="shared" si="19"/>
        <v>#NUM!</v>
      </c>
      <c r="I104" s="313"/>
      <c r="J104" s="239"/>
    </row>
    <row r="105" spans="1:10" x14ac:dyDescent="0.2">
      <c r="A105" s="908" t="s">
        <v>64</v>
      </c>
      <c r="B105" s="908"/>
      <c r="C105" s="296">
        <f t="shared" ref="C105:H105" si="20">IF(C76=0,0,(C103+C104)-(C99+C100))</f>
        <v>0</v>
      </c>
      <c r="D105" s="296">
        <f t="shared" si="20"/>
        <v>0</v>
      </c>
      <c r="E105" s="296">
        <f t="shared" si="20"/>
        <v>0</v>
      </c>
      <c r="F105" s="296">
        <f t="shared" si="20"/>
        <v>0</v>
      </c>
      <c r="G105" s="296">
        <f t="shared" si="20"/>
        <v>0</v>
      </c>
      <c r="H105" s="296">
        <f t="shared" si="20"/>
        <v>0</v>
      </c>
      <c r="I105" s="314" t="s">
        <v>48</v>
      </c>
      <c r="J105" s="239"/>
    </row>
    <row r="106" spans="1:10" x14ac:dyDescent="0.2">
      <c r="A106" s="810" t="s">
        <v>65</v>
      </c>
      <c r="B106" s="810"/>
      <c r="C106" s="287">
        <f t="shared" ref="C106:H106" si="21">IF(C76=0,0,IF(AND(C76&gt;0,C96&gt;0),C76-C80-C105,IF(C76-C80-C105-C97&lt;0,0,C76-C80-C105-C97)))</f>
        <v>0</v>
      </c>
      <c r="D106" s="287">
        <f t="shared" si="21"/>
        <v>0</v>
      </c>
      <c r="E106" s="287">
        <f t="shared" si="21"/>
        <v>0</v>
      </c>
      <c r="F106" s="287">
        <f t="shared" si="21"/>
        <v>0</v>
      </c>
      <c r="G106" s="287">
        <f t="shared" si="21"/>
        <v>0</v>
      </c>
      <c r="H106" s="287">
        <f t="shared" si="21"/>
        <v>0</v>
      </c>
      <c r="I106" s="287">
        <f>SUM(C106:H106)</f>
        <v>0</v>
      </c>
      <c r="J106" s="239"/>
    </row>
    <row r="107" spans="1:10" x14ac:dyDescent="0.2">
      <c r="A107" s="239"/>
      <c r="B107" s="239"/>
      <c r="C107" s="239"/>
      <c r="D107" s="239"/>
      <c r="E107" s="239"/>
      <c r="F107" s="239"/>
      <c r="G107" s="239"/>
      <c r="H107" s="239"/>
      <c r="I107" s="239"/>
      <c r="J107" s="239"/>
    </row>
    <row r="108" spans="1:10" x14ac:dyDescent="0.2">
      <c r="A108" s="239"/>
      <c r="B108" s="239"/>
      <c r="C108" s="239"/>
      <c r="D108" s="239"/>
      <c r="E108" s="239"/>
      <c r="F108" s="239"/>
      <c r="G108" s="239"/>
      <c r="H108" s="239"/>
      <c r="I108" s="239"/>
      <c r="J108" s="239"/>
    </row>
    <row r="109" spans="1:10" x14ac:dyDescent="0.2">
      <c r="A109" s="239"/>
      <c r="B109" s="239"/>
      <c r="C109" s="239"/>
      <c r="D109" s="239"/>
      <c r="E109" s="239"/>
      <c r="F109" s="239"/>
      <c r="G109" s="239"/>
      <c r="H109" s="239"/>
      <c r="I109" s="239"/>
      <c r="J109" s="239"/>
    </row>
    <row r="110" spans="1:10" ht="15" x14ac:dyDescent="0.25">
      <c r="A110" s="239"/>
      <c r="B110" s="944" t="s">
        <v>80</v>
      </c>
      <c r="C110" s="945"/>
      <c r="D110" s="946"/>
      <c r="E110" s="350" t="s">
        <v>48</v>
      </c>
      <c r="F110" s="377" t="s">
        <v>49</v>
      </c>
      <c r="G110" s="239"/>
      <c r="H110" s="239"/>
      <c r="I110" s="239"/>
      <c r="J110" s="239"/>
    </row>
    <row r="111" spans="1:10" x14ac:dyDescent="0.2">
      <c r="A111" s="239"/>
      <c r="B111" s="947" t="s">
        <v>81</v>
      </c>
      <c r="C111" s="948"/>
      <c r="D111" s="949"/>
      <c r="E111" s="352" t="e">
        <f>I101+I106</f>
        <v>#NUM!</v>
      </c>
      <c r="F111" s="352" t="e">
        <f>E111/6</f>
        <v>#NUM!</v>
      </c>
      <c r="G111" s="239"/>
      <c r="H111" s="239"/>
      <c r="I111" s="239"/>
      <c r="J111" s="239"/>
    </row>
    <row r="112" spans="1:10" x14ac:dyDescent="0.2">
      <c r="A112" s="239"/>
      <c r="B112" s="947" t="s">
        <v>82</v>
      </c>
      <c r="C112" s="948"/>
      <c r="D112" s="949"/>
      <c r="E112" s="352">
        <f>I64</f>
        <v>0</v>
      </c>
      <c r="F112" s="352">
        <f>E112/6</f>
        <v>0</v>
      </c>
      <c r="G112" s="239"/>
      <c r="H112" s="239"/>
      <c r="I112" s="239"/>
      <c r="J112" s="239"/>
    </row>
    <row r="113" spans="1:10" ht="15" x14ac:dyDescent="0.25">
      <c r="A113" s="239"/>
      <c r="B113" s="239"/>
      <c r="C113" s="239"/>
      <c r="D113" s="239"/>
      <c r="E113" s="378" t="s">
        <v>84</v>
      </c>
      <c r="F113" s="353" t="e">
        <f>F111+F112</f>
        <v>#NUM!</v>
      </c>
      <c r="G113" s="239"/>
      <c r="H113" s="239"/>
      <c r="I113" s="239"/>
      <c r="J113" s="239"/>
    </row>
    <row r="114" spans="1:10" x14ac:dyDescent="0.2">
      <c r="A114" s="239"/>
      <c r="B114" s="239"/>
      <c r="C114" s="239"/>
      <c r="D114" s="239"/>
      <c r="E114" s="239"/>
      <c r="F114" s="239"/>
      <c r="G114" s="239"/>
      <c r="H114" s="239"/>
      <c r="I114" s="239"/>
      <c r="J114" s="239"/>
    </row>
    <row r="115" spans="1:10" x14ac:dyDescent="0.2">
      <c r="A115" s="239"/>
      <c r="B115" s="239"/>
      <c r="C115" s="239"/>
      <c r="D115" s="239"/>
      <c r="E115" s="239"/>
      <c r="F115" s="239"/>
      <c r="G115" s="239"/>
      <c r="H115" s="239"/>
      <c r="I115" s="239"/>
      <c r="J115" s="239"/>
    </row>
    <row r="116" spans="1:10" x14ac:dyDescent="0.2">
      <c r="A116" s="239"/>
      <c r="B116" s="239"/>
      <c r="C116" s="239"/>
      <c r="D116" s="239"/>
      <c r="E116" s="239"/>
      <c r="F116" s="239"/>
      <c r="G116" s="239"/>
      <c r="H116" s="239"/>
      <c r="I116" s="239"/>
      <c r="J116" s="239"/>
    </row>
    <row r="117" spans="1:10" x14ac:dyDescent="0.2">
      <c r="A117" s="239"/>
      <c r="B117" s="239"/>
      <c r="C117" s="239"/>
      <c r="D117" s="239"/>
      <c r="E117" s="239"/>
      <c r="F117" s="239"/>
      <c r="G117" s="239"/>
      <c r="H117" s="239"/>
      <c r="I117" s="239"/>
      <c r="J117" s="239"/>
    </row>
    <row r="118" spans="1:10" x14ac:dyDescent="0.2">
      <c r="A118" s="239"/>
      <c r="B118" s="239"/>
      <c r="C118" s="239"/>
      <c r="D118" s="239"/>
      <c r="E118" s="239"/>
      <c r="F118" s="239"/>
      <c r="G118" s="239"/>
      <c r="H118" s="239"/>
      <c r="I118" s="239"/>
      <c r="J118" s="239"/>
    </row>
    <row r="119" spans="1:10" x14ac:dyDescent="0.2">
      <c r="A119" s="239"/>
      <c r="B119" s="239"/>
      <c r="C119" s="239"/>
      <c r="D119" s="239"/>
      <c r="E119" s="239"/>
      <c r="F119" s="1058" t="s">
        <v>85</v>
      </c>
      <c r="G119" s="1058"/>
      <c r="H119" s="379"/>
      <c r="I119" s="239"/>
      <c r="J119" s="239"/>
    </row>
    <row r="120" spans="1:10" x14ac:dyDescent="0.2">
      <c r="A120" s="239"/>
      <c r="B120" s="239"/>
      <c r="C120" s="239"/>
      <c r="D120" s="239"/>
      <c r="E120" s="239"/>
      <c r="F120" s="1059" t="s">
        <v>86</v>
      </c>
      <c r="G120" s="1059"/>
      <c r="H120" s="380"/>
      <c r="I120" s="239"/>
      <c r="J120" s="239"/>
    </row>
    <row r="121" spans="1:10" ht="15" x14ac:dyDescent="0.25">
      <c r="A121" s="239"/>
      <c r="B121" s="239"/>
      <c r="C121" s="239"/>
      <c r="D121" s="239"/>
      <c r="E121" s="239"/>
      <c r="F121" s="1060" t="s">
        <v>87</v>
      </c>
      <c r="G121" s="1060"/>
      <c r="H121" s="381" t="e">
        <f>IF(Kurzantrag!C24&gt;0,Kurzantrag!C24,ROUND(F113*45%,2))</f>
        <v>#NUM!</v>
      </c>
      <c r="I121" s="239"/>
      <c r="J121" s="239"/>
    </row>
    <row r="122" spans="1:10" x14ac:dyDescent="0.2">
      <c r="A122" s="239"/>
      <c r="B122" s="239"/>
      <c r="C122" s="239"/>
      <c r="D122" s="239"/>
      <c r="E122" s="239"/>
      <c r="F122" s="239"/>
      <c r="G122" s="239"/>
      <c r="H122" s="239"/>
      <c r="I122" s="239"/>
      <c r="J122" s="239"/>
    </row>
    <row r="123" spans="1:10" x14ac:dyDescent="0.2">
      <c r="A123" s="322"/>
      <c r="B123" s="322"/>
      <c r="C123" s="322"/>
      <c r="D123" s="322"/>
      <c r="E123" s="322"/>
      <c r="F123" s="322"/>
      <c r="G123" s="322"/>
      <c r="H123" s="322"/>
      <c r="I123" s="322"/>
      <c r="J123" s="322"/>
    </row>
    <row r="124" spans="1:10" x14ac:dyDescent="0.2">
      <c r="A124" s="239"/>
      <c r="B124" s="239"/>
      <c r="C124" s="239"/>
      <c r="D124" s="239"/>
      <c r="E124" s="239"/>
      <c r="F124" s="239"/>
      <c r="G124" s="239"/>
      <c r="H124" s="239"/>
      <c r="I124" s="239"/>
      <c r="J124" s="239"/>
    </row>
    <row r="125" spans="1:10" x14ac:dyDescent="0.2">
      <c r="A125" s="127"/>
      <c r="B125" s="127"/>
      <c r="C125" s="127"/>
      <c r="D125" s="127"/>
      <c r="E125" s="127"/>
      <c r="F125" s="127"/>
      <c r="G125" s="127"/>
      <c r="H125" s="127"/>
      <c r="I125" s="127"/>
      <c r="J125" s="127"/>
    </row>
    <row r="126" spans="1:10" x14ac:dyDescent="0.2">
      <c r="A126" s="127"/>
      <c r="B126" s="127"/>
      <c r="C126" s="127"/>
      <c r="D126" s="127"/>
      <c r="E126" s="127"/>
      <c r="F126" s="127"/>
      <c r="G126" s="127"/>
      <c r="H126" s="127"/>
      <c r="I126" s="127"/>
      <c r="J126" s="127"/>
    </row>
    <row r="127" spans="1:10" x14ac:dyDescent="0.2">
      <c r="A127" s="2"/>
      <c r="B127" s="2"/>
      <c r="C127" s="2"/>
      <c r="D127" s="2"/>
      <c r="E127" s="2"/>
      <c r="F127" s="2"/>
      <c r="G127" s="2"/>
      <c r="H127" s="2"/>
      <c r="I127" s="2"/>
      <c r="J127" s="2"/>
    </row>
    <row r="128" spans="1:10" x14ac:dyDescent="0.2">
      <c r="A128" s="2"/>
      <c r="B128" s="2"/>
      <c r="C128" s="2"/>
      <c r="D128" s="2"/>
      <c r="E128" s="2"/>
      <c r="F128" s="2"/>
      <c r="G128" s="2"/>
      <c r="H128" s="2"/>
      <c r="I128" s="2"/>
      <c r="J128" s="2"/>
    </row>
    <row r="129" spans="1:10" x14ac:dyDescent="0.2">
      <c r="A129" s="2"/>
      <c r="B129" s="2"/>
      <c r="C129" s="2"/>
      <c r="D129" s="2"/>
      <c r="E129" s="2"/>
      <c r="F129" s="2"/>
      <c r="G129" s="2"/>
      <c r="H129" s="2"/>
      <c r="I129" s="2"/>
      <c r="J129" s="2"/>
    </row>
    <row r="130" spans="1:10" x14ac:dyDescent="0.2">
      <c r="A130" s="2"/>
      <c r="B130" s="2"/>
      <c r="C130" s="2"/>
      <c r="D130" s="2"/>
      <c r="E130" s="2"/>
      <c r="F130" s="2"/>
      <c r="G130" s="2"/>
      <c r="H130" s="2"/>
      <c r="I130" s="2"/>
      <c r="J130" s="2"/>
    </row>
    <row r="131" spans="1:10" x14ac:dyDescent="0.2">
      <c r="A131" s="2"/>
      <c r="B131" s="2"/>
      <c r="C131" s="2"/>
      <c r="D131" s="2"/>
      <c r="E131" s="2"/>
      <c r="F131" s="2"/>
      <c r="G131" s="2"/>
      <c r="H131" s="2"/>
      <c r="I131" s="2"/>
      <c r="J131" s="2"/>
    </row>
    <row r="132" spans="1:10" x14ac:dyDescent="0.2">
      <c r="A132" s="2"/>
      <c r="B132" s="2"/>
      <c r="C132" s="2"/>
      <c r="D132" s="2"/>
      <c r="E132" s="2"/>
      <c r="F132" s="2"/>
      <c r="G132" s="2"/>
      <c r="H132" s="2"/>
      <c r="I132" s="2"/>
      <c r="J132" s="2"/>
    </row>
    <row r="133" spans="1:10" x14ac:dyDescent="0.2">
      <c r="A133" s="2"/>
      <c r="B133" s="2"/>
      <c r="C133" s="2"/>
      <c r="D133" s="2"/>
      <c r="E133" s="2"/>
      <c r="F133" s="2"/>
      <c r="G133" s="2"/>
      <c r="H133" s="2"/>
      <c r="I133" s="2"/>
      <c r="J133" s="2"/>
    </row>
    <row r="134" spans="1:10" x14ac:dyDescent="0.2">
      <c r="A134" s="2"/>
      <c r="B134" s="2"/>
      <c r="C134" s="2"/>
      <c r="D134" s="2"/>
      <c r="E134" s="2"/>
      <c r="F134" s="2"/>
      <c r="G134" s="2"/>
      <c r="H134" s="2"/>
      <c r="I134" s="2"/>
      <c r="J134" s="2"/>
    </row>
    <row r="135" spans="1:10" x14ac:dyDescent="0.2">
      <c r="A135" s="2"/>
      <c r="B135" s="2"/>
      <c r="C135" s="2"/>
      <c r="D135" s="2"/>
      <c r="E135" s="2"/>
      <c r="F135" s="2"/>
      <c r="G135" s="2"/>
      <c r="H135" s="2"/>
      <c r="I135" s="2"/>
      <c r="J135" s="2"/>
    </row>
  </sheetData>
  <sheetProtection algorithmName="SHA-512" hashValue="LydaPtViyFyia/bfaLDRPjYRI2cxDQOH1RiCm2UGsHLwzRExPvfkUkLp6e3o8HubbEfnCyr4B3bSYvrtwAJVqQ==" saltValue="d6wtDHVZg7LwEP05Q8llxA==" spinCount="100000" sheet="1" formatCells="0" formatColumns="0" formatRows="0" insertColumns="0" insertRows="0" insertHyperlinks="0" deleteColumns="0" deleteRows="0" sort="0" autoFilter="0" pivotTables="0"/>
  <mergeCells count="84">
    <mergeCell ref="J76:J77"/>
    <mergeCell ref="J78:J79"/>
    <mergeCell ref="I80:J80"/>
    <mergeCell ref="F119:G119"/>
    <mergeCell ref="F120:G120"/>
    <mergeCell ref="F121:G121"/>
    <mergeCell ref="A104:B104"/>
    <mergeCell ref="A105:B105"/>
    <mergeCell ref="A106:B106"/>
    <mergeCell ref="B110:D110"/>
    <mergeCell ref="B111:D111"/>
    <mergeCell ref="B112:D112"/>
    <mergeCell ref="A101:B101"/>
    <mergeCell ref="A88:B88"/>
    <mergeCell ref="A89:B89"/>
    <mergeCell ref="A90:B90"/>
    <mergeCell ref="A91:B91"/>
    <mergeCell ref="A92:B92"/>
    <mergeCell ref="A93:B93"/>
    <mergeCell ref="A94:B94"/>
    <mergeCell ref="A95:B95"/>
    <mergeCell ref="A97:B97"/>
    <mergeCell ref="A99:B99"/>
    <mergeCell ref="A100:B100"/>
    <mergeCell ref="A98:B98"/>
    <mergeCell ref="C72:H72"/>
    <mergeCell ref="A87:B87"/>
    <mergeCell ref="A74:B74"/>
    <mergeCell ref="A75:B75"/>
    <mergeCell ref="A76:B76"/>
    <mergeCell ref="A77:B77"/>
    <mergeCell ref="A79:B79"/>
    <mergeCell ref="A80:B80"/>
    <mergeCell ref="A81:B81"/>
    <mergeCell ref="A82:B82"/>
    <mergeCell ref="A83:B83"/>
    <mergeCell ref="A85:B85"/>
    <mergeCell ref="A86:B86"/>
    <mergeCell ref="A73:B73"/>
    <mergeCell ref="A49:B49"/>
    <mergeCell ref="A50:B50"/>
    <mergeCell ref="A51:B51"/>
    <mergeCell ref="A52:B52"/>
    <mergeCell ref="A53:B53"/>
    <mergeCell ref="A56:B56"/>
    <mergeCell ref="A57:B57"/>
    <mergeCell ref="A58:B58"/>
    <mergeCell ref="A59:B59"/>
    <mergeCell ref="A60:B60"/>
    <mergeCell ref="A48:B48"/>
    <mergeCell ref="B32:C32"/>
    <mergeCell ref="A37:B37"/>
    <mergeCell ref="A38:B38"/>
    <mergeCell ref="A39:B39"/>
    <mergeCell ref="A41:B41"/>
    <mergeCell ref="A42:B42"/>
    <mergeCell ref="A43:B43"/>
    <mergeCell ref="A44:B44"/>
    <mergeCell ref="A45:B45"/>
    <mergeCell ref="A46:B46"/>
    <mergeCell ref="A47:B47"/>
    <mergeCell ref="B31:C31"/>
    <mergeCell ref="A16:B16"/>
    <mergeCell ref="A18:B18"/>
    <mergeCell ref="A20:B20"/>
    <mergeCell ref="A21:B21"/>
    <mergeCell ref="A22:B22"/>
    <mergeCell ref="A24:B24"/>
    <mergeCell ref="A25:B25"/>
    <mergeCell ref="A26:B26"/>
    <mergeCell ref="A27:B27"/>
    <mergeCell ref="B30:C30"/>
    <mergeCell ref="A15:B15"/>
    <mergeCell ref="C1:H1"/>
    <mergeCell ref="A3:B3"/>
    <mergeCell ref="A4:B4"/>
    <mergeCell ref="A5:B5"/>
    <mergeCell ref="A6:B6"/>
    <mergeCell ref="A8:B8"/>
    <mergeCell ref="A9:B9"/>
    <mergeCell ref="A10:B10"/>
    <mergeCell ref="A11:B11"/>
    <mergeCell ref="A13:B13"/>
    <mergeCell ref="A14:B14"/>
  </mergeCells>
  <dataValidations count="3">
    <dataValidation type="list" allowBlank="1" showInputMessage="1" showErrorMessage="1" sqref="C74:H74" xr:uid="{00000000-0002-0000-1200-000000000000}">
      <formula1>".,ja,nein"</formula1>
    </dataValidation>
    <dataValidation type="decimal" allowBlank="1" showInputMessage="1" showErrorMessage="1" error="Der eingegebene Wert ist unzulässig. Bitte geben Sie eine Zahl ein, die größer 0 ist." sqref="C3:H6 C8:H11 C13:H16 C18:H22 C24:H27 C38:H39 C41:H41 C43:H45 C47:H49 C52:H53 C57:H59 C75:H77 C79:H82 C86:H88 C90:H95" xr:uid="{00000000-0002-0000-1200-000001000000}">
      <formula1>0</formula1>
      <formula2>1000000</formula2>
    </dataValidation>
    <dataValidation allowBlank="1" showInputMessage="1" showErrorMessage="1" prompt="Bitte geben Sie das Datum im Format MM/JJ ein (z.B. 03/19)." sqref="J76:J79" xr:uid="{00000000-0002-0000-1200-000002000000}"/>
  </dataValidations>
  <pageMargins left="0.7" right="0.7" top="0.78740157499999996" bottom="0.78740157499999996" header="0.3" footer="0.3"/>
  <pageSetup paperSize="9" orientation="landscape" r:id="rId1"/>
  <headerFooter>
    <oddHeader>&amp;L&amp;"Arial,Fett"4. Ermittlung des anzurechgnenden Einkommens des Kindes / der Kinder:
4.13. Einkommensermittlung Kind 13:
&amp;R&amp;D</oddHeader>
    <oddFooter>&amp;R&amp;P</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5"/>
  <dimension ref="A1:J135"/>
  <sheetViews>
    <sheetView showGridLines="0" zoomScaleNormal="100" workbookViewId="0">
      <selection activeCell="C18" sqref="C18"/>
    </sheetView>
  </sheetViews>
  <sheetFormatPr baseColWidth="10" defaultRowHeight="14.25" x14ac:dyDescent="0.2"/>
  <cols>
    <col min="1" max="16384" width="11" style="1"/>
  </cols>
  <sheetData>
    <row r="1" spans="1:10" ht="15" x14ac:dyDescent="0.25">
      <c r="A1" s="313"/>
      <c r="B1" s="240"/>
      <c r="C1" s="914" t="s">
        <v>251</v>
      </c>
      <c r="D1" s="914"/>
      <c r="E1" s="914"/>
      <c r="F1" s="914"/>
      <c r="G1" s="914"/>
      <c r="H1" s="914"/>
      <c r="I1" s="239"/>
      <c r="J1" s="239"/>
    </row>
    <row r="2" spans="1:10" ht="15" x14ac:dyDescent="0.25">
      <c r="A2" s="407" t="s">
        <v>29</v>
      </c>
      <c r="B2" s="408"/>
      <c r="C2" s="255" t="e">
        <f>EDATE(BG!D2,-6)</f>
        <v>#NUM!</v>
      </c>
      <c r="D2" s="255" t="e">
        <f>EDATE(BG!D2,-5)</f>
        <v>#NUM!</v>
      </c>
      <c r="E2" s="255" t="e">
        <f>EDATE(BG!D2,-4)</f>
        <v>#NUM!</v>
      </c>
      <c r="F2" s="255" t="e">
        <f>EDATE(BG!D2,-3)</f>
        <v>#NUM!</v>
      </c>
      <c r="G2" s="255" t="e">
        <f>EDATE(BG!D2,-2)</f>
        <v>#NUM!</v>
      </c>
      <c r="H2" s="255" t="e">
        <f>EDATE(BG!D2,-1)</f>
        <v>#NUM!</v>
      </c>
      <c r="I2" s="239"/>
      <c r="J2" s="239"/>
    </row>
    <row r="3" spans="1:10" x14ac:dyDescent="0.2">
      <c r="A3" s="892" t="s">
        <v>66</v>
      </c>
      <c r="B3" s="893"/>
      <c r="C3" s="297"/>
      <c r="D3" s="297"/>
      <c r="E3" s="297"/>
      <c r="F3" s="297"/>
      <c r="G3" s="297"/>
      <c r="H3" s="297"/>
      <c r="I3" s="239"/>
      <c r="J3" s="239"/>
    </row>
    <row r="4" spans="1:10" x14ac:dyDescent="0.2">
      <c r="A4" s="886" t="s">
        <v>38</v>
      </c>
      <c r="B4" s="887"/>
      <c r="C4" s="298"/>
      <c r="D4" s="298"/>
      <c r="E4" s="298"/>
      <c r="F4" s="298"/>
      <c r="G4" s="298"/>
      <c r="H4" s="298"/>
      <c r="I4" s="239"/>
      <c r="J4" s="239"/>
    </row>
    <row r="5" spans="1:10" x14ac:dyDescent="0.2">
      <c r="A5" s="888" t="s">
        <v>67</v>
      </c>
      <c r="B5" s="889"/>
      <c r="C5" s="317"/>
      <c r="D5" s="317"/>
      <c r="E5" s="317"/>
      <c r="F5" s="317"/>
      <c r="G5" s="317"/>
      <c r="H5" s="317"/>
      <c r="I5" s="239"/>
      <c r="J5" s="239"/>
    </row>
    <row r="6" spans="1:10" x14ac:dyDescent="0.2">
      <c r="A6" s="912" t="s">
        <v>68</v>
      </c>
      <c r="B6" s="913"/>
      <c r="C6" s="318"/>
      <c r="D6" s="318"/>
      <c r="E6" s="318"/>
      <c r="F6" s="318"/>
      <c r="G6" s="318"/>
      <c r="H6" s="318"/>
      <c r="I6" s="239"/>
      <c r="J6" s="239"/>
    </row>
    <row r="7" spans="1:10" x14ac:dyDescent="0.2">
      <c r="A7" s="319"/>
      <c r="B7" s="319"/>
      <c r="C7" s="143">
        <f t="shared" ref="C7:H7" si="0">IF((C3+C4)=0,0,IF(AND((C3-C5)&gt;=0,(C4-C6)&gt;=0),(C3+C4-C5-C6),IF(AND((C3-C5)&gt;0,(C4-C6)&lt;0),(C3-C5),IF(AND((C3-C5)&lt;0,(C4-C6)&gt;0),(C4-C6),IF((C3-C5)&gt;0,(C3-C5),IF((C3-C5)&lt;0,0))))))</f>
        <v>0</v>
      </c>
      <c r="D7" s="143">
        <f t="shared" si="0"/>
        <v>0</v>
      </c>
      <c r="E7" s="143">
        <f t="shared" si="0"/>
        <v>0</v>
      </c>
      <c r="F7" s="143">
        <f t="shared" si="0"/>
        <v>0</v>
      </c>
      <c r="G7" s="143">
        <f t="shared" si="0"/>
        <v>0</v>
      </c>
      <c r="H7" s="143">
        <f t="shared" si="0"/>
        <v>0</v>
      </c>
      <c r="I7" s="239"/>
      <c r="J7" s="239"/>
    </row>
    <row r="8" spans="1:10" x14ac:dyDescent="0.2">
      <c r="A8" s="933" t="s">
        <v>69</v>
      </c>
      <c r="B8" s="934"/>
      <c r="C8" s="297"/>
      <c r="D8" s="297"/>
      <c r="E8" s="297"/>
      <c r="F8" s="297"/>
      <c r="G8" s="297"/>
      <c r="H8" s="297"/>
      <c r="I8" s="239"/>
      <c r="J8" s="239"/>
    </row>
    <row r="9" spans="1:10" x14ac:dyDescent="0.2">
      <c r="A9" s="935" t="s">
        <v>38</v>
      </c>
      <c r="B9" s="936"/>
      <c r="C9" s="298"/>
      <c r="D9" s="298"/>
      <c r="E9" s="298"/>
      <c r="F9" s="298"/>
      <c r="G9" s="298"/>
      <c r="H9" s="298"/>
      <c r="I9" s="239"/>
      <c r="J9" s="239"/>
    </row>
    <row r="10" spans="1:10" x14ac:dyDescent="0.2">
      <c r="A10" s="888" t="s">
        <v>67</v>
      </c>
      <c r="B10" s="889"/>
      <c r="C10" s="297"/>
      <c r="D10" s="297"/>
      <c r="E10" s="297"/>
      <c r="F10" s="297"/>
      <c r="G10" s="297"/>
      <c r="H10" s="297"/>
      <c r="I10" s="239"/>
      <c r="J10" s="239"/>
    </row>
    <row r="11" spans="1:10" x14ac:dyDescent="0.2">
      <c r="A11" s="912" t="s">
        <v>68</v>
      </c>
      <c r="B11" s="913"/>
      <c r="C11" s="318"/>
      <c r="D11" s="318"/>
      <c r="E11" s="318"/>
      <c r="F11" s="318"/>
      <c r="G11" s="318"/>
      <c r="H11" s="318"/>
      <c r="I11" s="239"/>
      <c r="J11" s="239"/>
    </row>
    <row r="12" spans="1:10" x14ac:dyDescent="0.2">
      <c r="A12" s="321"/>
      <c r="B12" s="321"/>
      <c r="C12" s="143">
        <f t="shared" ref="C12:H12" si="1">IF((C8+C9)=0,0,IF(AND((C8-C10)&gt;=0,(C9-C11)&gt;=0),(C8+C9-C10-C11),IF(AND((C8-C10)&gt;0,(C9-C11)&lt;0),(C8-C10),IF(AND((C8-C10)&lt;0,(C9-C11)&gt;0),(C9-C11),IF((C8-C10)&gt;0,(C8-C10),IF((C8-C10)&lt;0,0))))))</f>
        <v>0</v>
      </c>
      <c r="D12" s="143">
        <f t="shared" si="1"/>
        <v>0</v>
      </c>
      <c r="E12" s="143">
        <f t="shared" si="1"/>
        <v>0</v>
      </c>
      <c r="F12" s="143">
        <f t="shared" si="1"/>
        <v>0</v>
      </c>
      <c r="G12" s="143">
        <f t="shared" si="1"/>
        <v>0</v>
      </c>
      <c r="H12" s="143">
        <f t="shared" si="1"/>
        <v>0</v>
      </c>
      <c r="I12" s="239"/>
      <c r="J12" s="239"/>
    </row>
    <row r="13" spans="1:10" x14ac:dyDescent="0.2">
      <c r="A13" s="892" t="s">
        <v>70</v>
      </c>
      <c r="B13" s="893"/>
      <c r="C13" s="297"/>
      <c r="D13" s="297"/>
      <c r="E13" s="297"/>
      <c r="F13" s="297"/>
      <c r="G13" s="297"/>
      <c r="H13" s="297"/>
      <c r="I13" s="239"/>
      <c r="J13" s="239"/>
    </row>
    <row r="14" spans="1:10" x14ac:dyDescent="0.2">
      <c r="A14" s="886" t="s">
        <v>38</v>
      </c>
      <c r="B14" s="887"/>
      <c r="C14" s="298"/>
      <c r="D14" s="298"/>
      <c r="E14" s="298"/>
      <c r="F14" s="298"/>
      <c r="G14" s="298"/>
      <c r="H14" s="298"/>
      <c r="I14" s="239"/>
      <c r="J14" s="239"/>
    </row>
    <row r="15" spans="1:10" x14ac:dyDescent="0.2">
      <c r="A15" s="888" t="s">
        <v>67</v>
      </c>
      <c r="B15" s="889"/>
      <c r="C15" s="323"/>
      <c r="D15" s="297"/>
      <c r="E15" s="297"/>
      <c r="F15" s="297"/>
      <c r="G15" s="297"/>
      <c r="H15" s="297"/>
      <c r="I15" s="239"/>
      <c r="J15" s="239"/>
    </row>
    <row r="16" spans="1:10" x14ac:dyDescent="0.2">
      <c r="A16" s="912" t="s">
        <v>68</v>
      </c>
      <c r="B16" s="913"/>
      <c r="C16" s="324"/>
      <c r="D16" s="325"/>
      <c r="E16" s="325"/>
      <c r="F16" s="325"/>
      <c r="G16" s="325"/>
      <c r="H16" s="325"/>
      <c r="I16" s="239"/>
      <c r="J16" s="239"/>
    </row>
    <row r="17" spans="1:10" x14ac:dyDescent="0.2">
      <c r="A17" s="321"/>
      <c r="B17" s="321"/>
      <c r="C17" s="143">
        <f t="shared" ref="C17:H17" si="2">IF((C13+C14)=0,0,IF(AND((C13-C15)&gt;=0,(C14-C16)&gt;=0),(C13+C14-C15-C16),IF(AND((C13-C15)&gt;0,(C14-C16)&lt;0),(C13-C15),IF(AND((C13-C15)&lt;0,(C14-C16)&gt;0),(C14-C16),IF((C13-C15)&gt;0,(C13-C15),IF((C13-C15)&lt;0,0))))))</f>
        <v>0</v>
      </c>
      <c r="D17" s="143">
        <f t="shared" si="2"/>
        <v>0</v>
      </c>
      <c r="E17" s="143">
        <f t="shared" si="2"/>
        <v>0</v>
      </c>
      <c r="F17" s="143">
        <f t="shared" si="2"/>
        <v>0</v>
      </c>
      <c r="G17" s="143">
        <f t="shared" si="2"/>
        <v>0</v>
      </c>
      <c r="H17" s="143">
        <f t="shared" si="2"/>
        <v>0</v>
      </c>
      <c r="I17" s="239"/>
      <c r="J17" s="239"/>
    </row>
    <row r="18" spans="1:10" x14ac:dyDescent="0.2">
      <c r="A18" s="892" t="s">
        <v>516</v>
      </c>
      <c r="B18" s="893"/>
      <c r="C18" s="328"/>
      <c r="D18" s="328"/>
      <c r="E18" s="328"/>
      <c r="F18" s="328"/>
      <c r="G18" s="328"/>
      <c r="H18" s="328"/>
      <c r="I18" s="239"/>
      <c r="J18" s="239"/>
    </row>
    <row r="19" spans="1:10" x14ac:dyDescent="0.2">
      <c r="A19" s="607"/>
      <c r="B19" s="608" t="s">
        <v>517</v>
      </c>
      <c r="C19" s="609"/>
      <c r="D19" s="609"/>
      <c r="E19" s="609"/>
      <c r="F19" s="609"/>
      <c r="G19" s="609"/>
      <c r="H19" s="609"/>
      <c r="I19" s="239"/>
      <c r="J19" s="239"/>
    </row>
    <row r="20" spans="1:10" x14ac:dyDescent="0.2">
      <c r="A20" s="886" t="s">
        <v>515</v>
      </c>
      <c r="B20" s="887"/>
      <c r="C20" s="362"/>
      <c r="D20" s="362"/>
      <c r="E20" s="362"/>
      <c r="F20" s="362"/>
      <c r="G20" s="362"/>
      <c r="H20" s="362"/>
      <c r="I20" s="239"/>
      <c r="J20" s="239"/>
    </row>
    <row r="21" spans="1:10" x14ac:dyDescent="0.2">
      <c r="A21" s="888" t="s">
        <v>67</v>
      </c>
      <c r="B21" s="889"/>
      <c r="C21" s="323"/>
      <c r="D21" s="328"/>
      <c r="E21" s="328"/>
      <c r="F21" s="328"/>
      <c r="G21" s="328"/>
      <c r="H21" s="328"/>
      <c r="I21" s="239"/>
      <c r="J21" s="239"/>
    </row>
    <row r="22" spans="1:10" x14ac:dyDescent="0.2">
      <c r="A22" s="912" t="s">
        <v>68</v>
      </c>
      <c r="B22" s="913"/>
      <c r="C22" s="329"/>
      <c r="D22" s="318"/>
      <c r="E22" s="318"/>
      <c r="F22" s="318"/>
      <c r="G22" s="318"/>
      <c r="H22" s="318"/>
      <c r="I22" s="239"/>
      <c r="J22" s="239"/>
    </row>
    <row r="23" spans="1:10" s="614" customFormat="1" x14ac:dyDescent="0.2">
      <c r="A23" s="615"/>
      <c r="B23" s="615"/>
      <c r="C23" s="143">
        <f>IF((C18+C19+C20)=0,0,IF(AND((C18+C19-C21)&gt;=0,(C20-C22)&gt;=0),(C18+C19+C20-C21-C22),IF(AND((C18+C19-C21)&gt;0,(C20-C22)&lt;0),(C18+C19-C21),IF(AND((C18+C19-C21)&lt;0,(C20-C22)&gt;0),(C20-C22),IF((C18+C19-C21)&gt;0,(C18+C19-C21),IF((C18+C19-C21)&lt;0,0))))))</f>
        <v>0</v>
      </c>
      <c r="D23" s="143">
        <f t="shared" ref="D23:H23" si="3">IF((D18+D19+D20)=0,0,IF(AND((D18+D19-D21)&gt;=0,(D20-D22)&gt;=0),(D18+D19+D20-D21-D22),IF(AND((D18+D19-D21)&gt;0,(D20-D22)&lt;0),(D18+D19-D21),IF(AND((D18+D19-D21)&lt;0,(D20-D22)&gt;0),(D20-D22),IF((D18+D19-D21)&gt;0,(D18+D19-D21),IF((D18+D19-D21)&lt;0,0))))))</f>
        <v>0</v>
      </c>
      <c r="E23" s="143">
        <f t="shared" si="3"/>
        <v>0</v>
      </c>
      <c r="F23" s="143">
        <f t="shared" si="3"/>
        <v>0</v>
      </c>
      <c r="G23" s="143">
        <f t="shared" si="3"/>
        <v>0</v>
      </c>
      <c r="H23" s="143">
        <f t="shared" si="3"/>
        <v>0</v>
      </c>
      <c r="I23" s="84"/>
      <c r="J23" s="84"/>
    </row>
    <row r="24" spans="1:10" x14ac:dyDescent="0.2">
      <c r="A24" s="892" t="s">
        <v>71</v>
      </c>
      <c r="B24" s="893"/>
      <c r="C24" s="297"/>
      <c r="D24" s="297"/>
      <c r="E24" s="297"/>
      <c r="F24" s="297"/>
      <c r="G24" s="297"/>
      <c r="H24" s="297"/>
      <c r="I24" s="239"/>
      <c r="J24" s="239"/>
    </row>
    <row r="25" spans="1:10" x14ac:dyDescent="0.2">
      <c r="A25" s="886" t="s">
        <v>38</v>
      </c>
      <c r="B25" s="887"/>
      <c r="C25" s="298"/>
      <c r="D25" s="298"/>
      <c r="E25" s="298"/>
      <c r="F25" s="298"/>
      <c r="G25" s="298"/>
      <c r="H25" s="298"/>
      <c r="I25" s="239"/>
      <c r="J25" s="239"/>
    </row>
    <row r="26" spans="1:10" x14ac:dyDescent="0.2">
      <c r="A26" s="888" t="s">
        <v>67</v>
      </c>
      <c r="B26" s="889"/>
      <c r="C26" s="323"/>
      <c r="D26" s="297"/>
      <c r="E26" s="297"/>
      <c r="F26" s="297"/>
      <c r="G26" s="297"/>
      <c r="H26" s="297"/>
      <c r="I26" s="239"/>
      <c r="J26" s="239"/>
    </row>
    <row r="27" spans="1:10" x14ac:dyDescent="0.2">
      <c r="A27" s="890" t="s">
        <v>68</v>
      </c>
      <c r="B27" s="891"/>
      <c r="C27" s="329"/>
      <c r="D27" s="318"/>
      <c r="E27" s="318"/>
      <c r="F27" s="318"/>
      <c r="G27" s="318"/>
      <c r="H27" s="318"/>
      <c r="I27" s="239"/>
      <c r="J27" s="239"/>
    </row>
    <row r="28" spans="1:10" x14ac:dyDescent="0.2">
      <c r="A28" s="331"/>
      <c r="B28" s="330"/>
      <c r="C28" s="144">
        <f t="shared" ref="C28:H28" si="4">IF((C24+C25)=0,0,IF(AND((C24-C26)&gt;=0,(C25-C27)&gt;=0),(C24+C25-C26-C27),IF(AND((C24-C26)&gt;0,(C25-C27)&lt;0),(C24-C26),IF(AND((C24-C26)&lt;0,(C25-C27)&gt;0),(C25-C27),IF((C24-C26)&gt;0,(C24-C26),IF((C24-C26)&lt;0,0))))))</f>
        <v>0</v>
      </c>
      <c r="D28" s="144">
        <f t="shared" si="4"/>
        <v>0</v>
      </c>
      <c r="E28" s="144">
        <f t="shared" si="4"/>
        <v>0</v>
      </c>
      <c r="F28" s="144">
        <f t="shared" si="4"/>
        <v>0</v>
      </c>
      <c r="G28" s="144">
        <f t="shared" si="4"/>
        <v>0</v>
      </c>
      <c r="H28" s="144">
        <f t="shared" si="4"/>
        <v>0</v>
      </c>
      <c r="I28" s="239"/>
      <c r="J28" s="239"/>
    </row>
    <row r="29" spans="1:10" s="614" customFormat="1" x14ac:dyDescent="0.2">
      <c r="A29" s="84"/>
      <c r="B29" s="616"/>
      <c r="C29" s="616">
        <f>IF(AND(C18&gt;0,AS!C53&gt;0),C18,0)</f>
        <v>0</v>
      </c>
      <c r="D29" s="616">
        <f>IF(AND(D18&gt;0,AS!D53&gt;0),D18,0)</f>
        <v>0</v>
      </c>
      <c r="E29" s="616">
        <f>IF(AND(E18&gt;0,AS!E53&gt;0),E18,0)</f>
        <v>0</v>
      </c>
      <c r="F29" s="616">
        <f>IF(AND(F18&gt;0,AS!F53&gt;0),F18,0)</f>
        <v>0</v>
      </c>
      <c r="G29" s="616">
        <f>IF(AND(G18&gt;0,AS!G53&gt;0),G18,0)</f>
        <v>0</v>
      </c>
      <c r="H29" s="616">
        <f>IF(AND(H18&gt;0,AS!H53&gt;0),H18,0)</f>
        <v>0</v>
      </c>
      <c r="I29" s="84"/>
      <c r="J29" s="84"/>
    </row>
    <row r="30" spans="1:10" x14ac:dyDescent="0.2">
      <c r="A30" s="239"/>
      <c r="B30" s="1044"/>
      <c r="C30" s="1044"/>
      <c r="D30" s="409"/>
      <c r="E30" s="409"/>
      <c r="F30" s="409"/>
      <c r="G30" s="409"/>
      <c r="H30" s="409"/>
      <c r="I30" s="239"/>
      <c r="J30" s="239"/>
    </row>
    <row r="31" spans="1:10" x14ac:dyDescent="0.2">
      <c r="A31" s="239"/>
      <c r="B31" s="1045"/>
      <c r="C31" s="1045"/>
      <c r="D31" s="334"/>
      <c r="E31" s="334"/>
      <c r="F31" s="334"/>
      <c r="G31" s="334"/>
      <c r="H31" s="334"/>
      <c r="I31" s="239"/>
      <c r="J31" s="239"/>
    </row>
    <row r="32" spans="1:10" x14ac:dyDescent="0.2">
      <c r="A32" s="239"/>
      <c r="B32" s="1045"/>
      <c r="C32" s="1045"/>
      <c r="D32" s="334"/>
      <c r="E32" s="334"/>
      <c r="F32" s="334"/>
      <c r="G32" s="334"/>
      <c r="H32" s="334"/>
      <c r="I32" s="239"/>
      <c r="J32" s="239"/>
    </row>
    <row r="33" spans="1:10" x14ac:dyDescent="0.2">
      <c r="A33" s="239"/>
      <c r="B33" s="332"/>
      <c r="C33" s="332"/>
      <c r="D33" s="334"/>
      <c r="E33" s="334"/>
      <c r="F33" s="334"/>
      <c r="G33" s="334"/>
      <c r="H33" s="334"/>
      <c r="I33" s="239"/>
      <c r="J33" s="239"/>
    </row>
    <row r="34" spans="1:10" x14ac:dyDescent="0.2">
      <c r="A34" s="239"/>
      <c r="B34" s="239"/>
      <c r="C34" s="239"/>
      <c r="D34" s="239"/>
      <c r="E34" s="239"/>
      <c r="F34" s="239"/>
      <c r="G34" s="239"/>
      <c r="H34" s="239"/>
      <c r="I34" s="239"/>
      <c r="J34" s="239"/>
    </row>
    <row r="35" spans="1:10" x14ac:dyDescent="0.2">
      <c r="A35" s="239"/>
      <c r="B35" s="239"/>
      <c r="C35" s="239"/>
      <c r="D35" s="239"/>
      <c r="E35" s="239"/>
      <c r="F35" s="239"/>
      <c r="G35" s="239"/>
      <c r="H35" s="239"/>
      <c r="I35" s="239"/>
      <c r="J35" s="239"/>
    </row>
    <row r="36" spans="1:10" x14ac:dyDescent="0.2">
      <c r="A36" s="239"/>
      <c r="B36" s="239"/>
      <c r="C36" s="239"/>
      <c r="D36" s="239"/>
      <c r="E36" s="239"/>
      <c r="F36" s="239"/>
      <c r="G36" s="239"/>
      <c r="H36" s="239"/>
      <c r="I36" s="239"/>
      <c r="J36" s="239"/>
    </row>
    <row r="37" spans="1:10" ht="15" x14ac:dyDescent="0.25">
      <c r="A37" s="931" t="s">
        <v>29</v>
      </c>
      <c r="B37" s="932"/>
      <c r="C37" s="255" t="e">
        <f>EDATE(BG!D2,-6)</f>
        <v>#NUM!</v>
      </c>
      <c r="D37" s="255" t="e">
        <f>EDATE(BG!D2,-5)</f>
        <v>#NUM!</v>
      </c>
      <c r="E37" s="255" t="e">
        <f>EDATE(BG!D2,-4)</f>
        <v>#NUM!</v>
      </c>
      <c r="F37" s="255" t="e">
        <f>EDATE(BG!D2,-3)</f>
        <v>#NUM!</v>
      </c>
      <c r="G37" s="255" t="e">
        <f>EDATE(BG!D2,-2)</f>
        <v>#NUM!</v>
      </c>
      <c r="H37" s="255" t="e">
        <f>EDATE(BG!D2,-1)</f>
        <v>#NUM!</v>
      </c>
      <c r="I37" s="239"/>
      <c r="J37" s="239"/>
    </row>
    <row r="38" spans="1:10" x14ac:dyDescent="0.2">
      <c r="A38" s="896" t="s">
        <v>73</v>
      </c>
      <c r="B38" s="897"/>
      <c r="C38" s="333"/>
      <c r="D38" s="333"/>
      <c r="E38" s="333"/>
      <c r="F38" s="333"/>
      <c r="G38" s="333"/>
      <c r="H38" s="333"/>
      <c r="I38" s="239"/>
      <c r="J38" s="239"/>
    </row>
    <row r="39" spans="1:10" x14ac:dyDescent="0.2">
      <c r="A39" s="868" t="s">
        <v>74</v>
      </c>
      <c r="B39" s="869"/>
      <c r="C39" s="333"/>
      <c r="D39" s="333"/>
      <c r="E39" s="333"/>
      <c r="F39" s="333"/>
      <c r="G39" s="333"/>
      <c r="H39" s="333"/>
      <c r="I39" s="239"/>
      <c r="J39" s="239"/>
    </row>
    <row r="40" spans="1:10" x14ac:dyDescent="0.2">
      <c r="A40" s="239"/>
      <c r="B40" s="239"/>
      <c r="C40" s="239"/>
      <c r="D40" s="239"/>
      <c r="E40" s="239"/>
      <c r="F40" s="239"/>
      <c r="G40" s="239"/>
      <c r="H40" s="239"/>
      <c r="I40" s="239"/>
      <c r="J40" s="239"/>
    </row>
    <row r="41" spans="1:10" x14ac:dyDescent="0.2">
      <c r="A41" s="1046" t="s">
        <v>252</v>
      </c>
      <c r="B41" s="1047"/>
      <c r="C41" s="363"/>
      <c r="D41" s="363"/>
      <c r="E41" s="363"/>
      <c r="F41" s="363"/>
      <c r="G41" s="363"/>
      <c r="H41" s="363"/>
      <c r="I41" s="239"/>
      <c r="J41" s="239"/>
    </row>
    <row r="42" spans="1:10" x14ac:dyDescent="0.2">
      <c r="A42" s="1042" t="s">
        <v>313</v>
      </c>
      <c r="B42" s="1043"/>
      <c r="C42" s="294"/>
      <c r="D42" s="294"/>
      <c r="E42" s="294"/>
      <c r="F42" s="294"/>
      <c r="G42" s="294"/>
      <c r="H42" s="410"/>
      <c r="I42" s="239"/>
      <c r="J42" s="239"/>
    </row>
    <row r="43" spans="1:10" x14ac:dyDescent="0.2">
      <c r="A43" s="884" t="s">
        <v>314</v>
      </c>
      <c r="B43" s="885"/>
      <c r="C43" s="336"/>
      <c r="D43" s="336"/>
      <c r="E43" s="336"/>
      <c r="F43" s="336"/>
      <c r="G43" s="336"/>
      <c r="H43" s="336"/>
      <c r="I43" s="239"/>
      <c r="J43" s="239"/>
    </row>
    <row r="44" spans="1:10" x14ac:dyDescent="0.2">
      <c r="A44" s="880" t="s">
        <v>495</v>
      </c>
      <c r="B44" s="881"/>
      <c r="C44" s="339"/>
      <c r="D44" s="339"/>
      <c r="E44" s="339"/>
      <c r="F44" s="339"/>
      <c r="G44" s="339"/>
      <c r="H44" s="339"/>
      <c r="I44" s="239"/>
      <c r="J44" s="239"/>
    </row>
    <row r="45" spans="1:10" x14ac:dyDescent="0.2">
      <c r="A45" s="882" t="s">
        <v>316</v>
      </c>
      <c r="B45" s="883"/>
      <c r="C45" s="339"/>
      <c r="D45" s="339"/>
      <c r="E45" s="339"/>
      <c r="F45" s="339"/>
      <c r="G45" s="339"/>
      <c r="H45" s="339"/>
      <c r="I45" s="239"/>
      <c r="J45" s="239"/>
    </row>
    <row r="46" spans="1:10" x14ac:dyDescent="0.2">
      <c r="A46" s="870" t="s">
        <v>317</v>
      </c>
      <c r="B46" s="871"/>
      <c r="C46" s="340" t="e">
        <f t="shared" ref="C46:H46" si="5">IF(AND(C96=0,C41&gt;0,C61&gt;17),30,0)</f>
        <v>#NUM!</v>
      </c>
      <c r="D46" s="340" t="e">
        <f t="shared" si="5"/>
        <v>#NUM!</v>
      </c>
      <c r="E46" s="340" t="e">
        <f t="shared" si="5"/>
        <v>#NUM!</v>
      </c>
      <c r="F46" s="340" t="e">
        <f t="shared" si="5"/>
        <v>#NUM!</v>
      </c>
      <c r="G46" s="340" t="e">
        <f t="shared" si="5"/>
        <v>#NUM!</v>
      </c>
      <c r="H46" s="340" t="e">
        <f t="shared" si="5"/>
        <v>#NUM!</v>
      </c>
      <c r="I46" s="239"/>
      <c r="J46" s="239"/>
    </row>
    <row r="47" spans="1:10" x14ac:dyDescent="0.2">
      <c r="A47" s="872" t="s">
        <v>58</v>
      </c>
      <c r="B47" s="872"/>
      <c r="C47" s="364"/>
      <c r="D47" s="364"/>
      <c r="E47" s="364"/>
      <c r="F47" s="364"/>
      <c r="G47" s="364"/>
      <c r="H47" s="364"/>
      <c r="I47" s="239"/>
      <c r="J47" s="239"/>
    </row>
    <row r="48" spans="1:10" x14ac:dyDescent="0.2">
      <c r="A48" s="873" t="s">
        <v>318</v>
      </c>
      <c r="B48" s="874"/>
      <c r="C48" s="336"/>
      <c r="D48" s="336"/>
      <c r="E48" s="336"/>
      <c r="F48" s="336"/>
      <c r="G48" s="336"/>
      <c r="H48" s="336"/>
      <c r="I48" s="239"/>
      <c r="J48" s="239"/>
    </row>
    <row r="49" spans="1:10" x14ac:dyDescent="0.2">
      <c r="A49" s="810" t="s">
        <v>319</v>
      </c>
      <c r="B49" s="810"/>
      <c r="C49" s="337"/>
      <c r="D49" s="337"/>
      <c r="E49" s="337"/>
      <c r="F49" s="337"/>
      <c r="G49" s="337"/>
      <c r="H49" s="337"/>
      <c r="I49" s="239"/>
      <c r="J49" s="239"/>
    </row>
    <row r="50" spans="1:10" x14ac:dyDescent="0.2">
      <c r="A50" s="810" t="s">
        <v>320</v>
      </c>
      <c r="B50" s="810"/>
      <c r="C50" s="287">
        <f t="shared" ref="C50:H50" si="6">IF(C41=ISBLANK(0),0,IF(C96&gt;0,SUM(C43:C49),IF(C96=0,IF(SUM(C43:C49)&lt;100,100,SUM(C43:C49)))))</f>
        <v>0</v>
      </c>
      <c r="D50" s="287">
        <f t="shared" si="6"/>
        <v>0</v>
      </c>
      <c r="E50" s="287">
        <f t="shared" si="6"/>
        <v>0</v>
      </c>
      <c r="F50" s="287">
        <f t="shared" si="6"/>
        <v>0</v>
      </c>
      <c r="G50" s="287">
        <f t="shared" si="6"/>
        <v>0</v>
      </c>
      <c r="H50" s="287">
        <f t="shared" si="6"/>
        <v>0</v>
      </c>
      <c r="I50" s="239"/>
      <c r="J50" s="239"/>
    </row>
    <row r="51" spans="1:10" x14ac:dyDescent="0.2">
      <c r="A51" s="810" t="s">
        <v>322</v>
      </c>
      <c r="B51" s="810"/>
      <c r="C51" s="287">
        <f t="shared" ref="C51:H51" si="7">IF(C41-C50&lt;0,0,C41-C50)</f>
        <v>0</v>
      </c>
      <c r="D51" s="287">
        <f t="shared" si="7"/>
        <v>0</v>
      </c>
      <c r="E51" s="287">
        <f t="shared" si="7"/>
        <v>0</v>
      </c>
      <c r="F51" s="287">
        <f t="shared" si="7"/>
        <v>0</v>
      </c>
      <c r="G51" s="287">
        <f t="shared" si="7"/>
        <v>0</v>
      </c>
      <c r="H51" s="287">
        <f t="shared" si="7"/>
        <v>0</v>
      </c>
      <c r="I51" s="239"/>
      <c r="J51" s="239"/>
    </row>
    <row r="52" spans="1:10" x14ac:dyDescent="0.2">
      <c r="A52" s="866" t="s">
        <v>321</v>
      </c>
      <c r="B52" s="867"/>
      <c r="C52" s="365"/>
      <c r="D52" s="365"/>
      <c r="E52" s="365"/>
      <c r="F52" s="365"/>
      <c r="G52" s="365"/>
      <c r="H52" s="365"/>
      <c r="I52" s="239"/>
      <c r="J52" s="239"/>
    </row>
    <row r="53" spans="1:10" x14ac:dyDescent="0.2">
      <c r="A53" s="868" t="s">
        <v>68</v>
      </c>
      <c r="B53" s="869"/>
      <c r="C53" s="333"/>
      <c r="D53" s="333"/>
      <c r="E53" s="333"/>
      <c r="F53" s="333"/>
      <c r="G53" s="333"/>
      <c r="H53" s="333"/>
      <c r="I53" s="239"/>
      <c r="J53" s="239"/>
    </row>
    <row r="54" spans="1:10" x14ac:dyDescent="0.2">
      <c r="A54" s="239"/>
      <c r="B54" s="239"/>
      <c r="C54" s="93">
        <f t="shared" ref="C54:H54" si="8">IF((C52-C53)&lt;0,0,(C52-C53))</f>
        <v>0</v>
      </c>
      <c r="D54" s="93">
        <f t="shared" si="8"/>
        <v>0</v>
      </c>
      <c r="E54" s="93">
        <f t="shared" si="8"/>
        <v>0</v>
      </c>
      <c r="F54" s="93">
        <f t="shared" si="8"/>
        <v>0</v>
      </c>
      <c r="G54" s="93">
        <f t="shared" si="8"/>
        <v>0</v>
      </c>
      <c r="H54" s="93">
        <f t="shared" si="8"/>
        <v>0</v>
      </c>
      <c r="I54" s="239"/>
      <c r="J54" s="239"/>
    </row>
    <row r="55" spans="1:10" x14ac:dyDescent="0.2">
      <c r="A55" s="239"/>
      <c r="B55" s="239"/>
      <c r="C55" s="93">
        <f t="shared" ref="C55:H55" si="9">IF(C38-C39&lt;0,0,C38-C39)</f>
        <v>0</v>
      </c>
      <c r="D55" s="93">
        <f t="shared" si="9"/>
        <v>0</v>
      </c>
      <c r="E55" s="93">
        <f t="shared" si="9"/>
        <v>0</v>
      </c>
      <c r="F55" s="93">
        <f t="shared" si="9"/>
        <v>0</v>
      </c>
      <c r="G55" s="93">
        <f t="shared" si="9"/>
        <v>0</v>
      </c>
      <c r="H55" s="93">
        <f t="shared" si="9"/>
        <v>0</v>
      </c>
      <c r="I55" s="239"/>
      <c r="J55" s="239"/>
    </row>
    <row r="56" spans="1:10" ht="15" x14ac:dyDescent="0.25">
      <c r="A56" s="902" t="s">
        <v>75</v>
      </c>
      <c r="B56" s="902"/>
      <c r="C56" s="342" t="s">
        <v>323</v>
      </c>
      <c r="D56" s="309"/>
      <c r="E56" s="309"/>
      <c r="F56" s="309"/>
      <c r="G56" s="309"/>
      <c r="H56" s="309"/>
      <c r="I56" s="239"/>
      <c r="J56" s="239"/>
    </row>
    <row r="57" spans="1:10" x14ac:dyDescent="0.2">
      <c r="A57" s="903" t="s">
        <v>56</v>
      </c>
      <c r="B57" s="903"/>
      <c r="C57" s="308"/>
      <c r="D57" s="308"/>
      <c r="E57" s="308"/>
      <c r="F57" s="308"/>
      <c r="G57" s="308"/>
      <c r="H57" s="308"/>
      <c r="I57" s="239"/>
      <c r="J57" s="239"/>
    </row>
    <row r="58" spans="1:10" x14ac:dyDescent="0.2">
      <c r="A58" s="903" t="s">
        <v>57</v>
      </c>
      <c r="B58" s="903"/>
      <c r="C58" s="308"/>
      <c r="D58" s="308"/>
      <c r="E58" s="308"/>
      <c r="F58" s="308"/>
      <c r="G58" s="308"/>
      <c r="H58" s="308"/>
      <c r="I58" s="239"/>
      <c r="J58" s="239"/>
    </row>
    <row r="59" spans="1:10" x14ac:dyDescent="0.2">
      <c r="A59" s="903" t="s">
        <v>58</v>
      </c>
      <c r="B59" s="903"/>
      <c r="C59" s="308"/>
      <c r="D59" s="308"/>
      <c r="E59" s="308"/>
      <c r="F59" s="308"/>
      <c r="G59" s="308"/>
      <c r="H59" s="308"/>
      <c r="I59" s="239"/>
      <c r="J59" s="239"/>
    </row>
    <row r="60" spans="1:10" x14ac:dyDescent="0.2">
      <c r="A60" s="903" t="s">
        <v>76</v>
      </c>
      <c r="B60" s="903"/>
      <c r="C60" s="343">
        <f>IF(C61&lt;18,0,IF(C46=30,0,IF((C75+C76+H78)&gt;0,0,IF(C96=0,30,IF(C96&gt;0,0)))))</f>
        <v>0</v>
      </c>
      <c r="D60" s="343">
        <f>IF(D61&lt;18,0,IF(D46=30,0,IF((D75+D76+H78)&gt;0,0,IF(D96=0,30,IF(D96&gt;0,0)))))</f>
        <v>0</v>
      </c>
      <c r="E60" s="343">
        <f>IF(E61&lt;18,0,IF(E46=30,0,IF((E75+E76+H78)&gt;0,0,IF(E96=0,30,IF(E96&gt;0,0)))))</f>
        <v>0</v>
      </c>
      <c r="F60" s="343">
        <f>IF(F61&lt;18,0,IF(F46=30,0,IF((F75+F76+H78)&gt;0,0,IF(F96=0,30,IF(F96&gt;0,0)))))</f>
        <v>0</v>
      </c>
      <c r="G60" s="343">
        <f>IF(G61&lt;18,0,IF(G46=30,0,IF((G75+G76+H78)&gt;0,0,IF(G96=0,30,IF(G96&gt;0,0)))))</f>
        <v>0</v>
      </c>
      <c r="H60" s="343">
        <f>IF(H61&lt;18,0,IF(H46=30,0,IF((H75+H76+H78)&gt;0,0,IF(H96=0,30,IF(H96&gt;0,0)))))</f>
        <v>0</v>
      </c>
      <c r="I60" s="239"/>
      <c r="J60" s="239"/>
    </row>
    <row r="61" spans="1:10" x14ac:dyDescent="0.2">
      <c r="A61" s="239"/>
      <c r="B61" s="239"/>
      <c r="C61" s="84">
        <f>IF(BG!$C$34=ISBLANK(0),0,IF(INT((C37-BG!$C$34)/365.25)&lt;0,0,INT((C37-BG!$C$34)/365.25)))</f>
        <v>0</v>
      </c>
      <c r="D61" s="84">
        <f>IF(BG!$C$34=ISBLANK(0),0,IF(INT((D37-BG!$C$34)/365.25)&lt;0,0,INT((D37-BG!$C$34)/365.25)))</f>
        <v>0</v>
      </c>
      <c r="E61" s="84">
        <f>IF(BG!$C$34=ISBLANK(0),0,IF(INT((E37-BG!$C$34)/365.25)&lt;0,0,INT((E37-BG!$C$34)/365.25)))</f>
        <v>0</v>
      </c>
      <c r="F61" s="84">
        <f>IF(BG!$C$34=ISBLANK(0),0,IF(INT((F37-BG!$C$34)/365.25)&lt;0,0,INT((F37-BG!$C$34)/365.25)))</f>
        <v>0</v>
      </c>
      <c r="G61" s="84">
        <f>IF(BG!$C$34=ISBLANK(0),0,IF(INT((G37-BG!$C$34)/365.25)&lt;0,0,INT((G37-BG!$C$34)/365.25)))</f>
        <v>0</v>
      </c>
      <c r="H61" s="84">
        <f>IF(BG!$C$34=ISBLANK(0),0,IF(INT((H37-BG!$C$34)/365.25)&lt;0,0,INT((H37-BG!$C$34)/365.25)))</f>
        <v>0</v>
      </c>
      <c r="I61" s="239"/>
      <c r="J61" s="239"/>
    </row>
    <row r="62" spans="1:10" x14ac:dyDescent="0.2">
      <c r="A62" s="241"/>
      <c r="B62" s="344" t="s">
        <v>77</v>
      </c>
      <c r="C62" s="97">
        <f t="shared" ref="C62:H62" si="10">C7+C12+C17+C23+C28+C51+C54+C55</f>
        <v>0</v>
      </c>
      <c r="D62" s="97">
        <f t="shared" si="10"/>
        <v>0</v>
      </c>
      <c r="E62" s="97">
        <f t="shared" si="10"/>
        <v>0</v>
      </c>
      <c r="F62" s="97">
        <f t="shared" si="10"/>
        <v>0</v>
      </c>
      <c r="G62" s="97">
        <f t="shared" si="10"/>
        <v>0</v>
      </c>
      <c r="H62" s="97">
        <f t="shared" si="10"/>
        <v>0</v>
      </c>
      <c r="I62" s="258" t="s">
        <v>48</v>
      </c>
      <c r="J62" s="239"/>
    </row>
    <row r="63" spans="1:10" x14ac:dyDescent="0.2">
      <c r="A63" s="345"/>
      <c r="B63" s="346" t="s">
        <v>78</v>
      </c>
      <c r="C63" s="106">
        <f t="shared" ref="C63:H63" si="11">SUM(C57:C60)</f>
        <v>0</v>
      </c>
      <c r="D63" s="106">
        <f t="shared" si="11"/>
        <v>0</v>
      </c>
      <c r="E63" s="106">
        <f t="shared" si="11"/>
        <v>0</v>
      </c>
      <c r="F63" s="106">
        <f t="shared" si="11"/>
        <v>0</v>
      </c>
      <c r="G63" s="106">
        <f t="shared" si="11"/>
        <v>0</v>
      </c>
      <c r="H63" s="106">
        <f t="shared" si="11"/>
        <v>0</v>
      </c>
      <c r="I63" s="347"/>
      <c r="J63" s="239"/>
    </row>
    <row r="64" spans="1:10" x14ac:dyDescent="0.2">
      <c r="A64" s="281"/>
      <c r="B64" s="348" t="s">
        <v>79</v>
      </c>
      <c r="C64" s="296">
        <f t="shared" ref="C64:H64" si="12">IF((C62-C63)&lt;0,0,(C62-C63))</f>
        <v>0</v>
      </c>
      <c r="D64" s="296">
        <f t="shared" si="12"/>
        <v>0</v>
      </c>
      <c r="E64" s="296">
        <f t="shared" si="12"/>
        <v>0</v>
      </c>
      <c r="F64" s="296">
        <f t="shared" si="12"/>
        <v>0</v>
      </c>
      <c r="G64" s="296">
        <f t="shared" si="12"/>
        <v>0</v>
      </c>
      <c r="H64" s="296">
        <f t="shared" si="12"/>
        <v>0</v>
      </c>
      <c r="I64" s="287">
        <f>SUM(C64:H64)</f>
        <v>0</v>
      </c>
      <c r="J64" s="239"/>
    </row>
    <row r="65" spans="1:10" x14ac:dyDescent="0.2">
      <c r="A65" s="239"/>
      <c r="B65" s="239"/>
      <c r="C65" s="239"/>
      <c r="D65" s="239"/>
      <c r="E65" s="239"/>
      <c r="F65" s="239"/>
      <c r="G65" s="239"/>
      <c r="H65" s="239"/>
      <c r="I65" s="239"/>
      <c r="J65" s="239"/>
    </row>
    <row r="66" spans="1:10" x14ac:dyDescent="0.2">
      <c r="A66" s="239"/>
      <c r="B66" s="239"/>
      <c r="C66" s="239"/>
      <c r="D66" s="239"/>
      <c r="E66" s="239"/>
      <c r="F66" s="239"/>
      <c r="G66" s="239"/>
      <c r="H66" s="239"/>
      <c r="I66" s="239"/>
      <c r="J66" s="239"/>
    </row>
    <row r="67" spans="1:10" x14ac:dyDescent="0.2">
      <c r="A67" s="239"/>
      <c r="B67" s="239"/>
      <c r="C67" s="239"/>
      <c r="D67" s="239"/>
      <c r="E67" s="239"/>
      <c r="F67" s="239"/>
      <c r="G67" s="239"/>
      <c r="H67" s="239"/>
      <c r="I67" s="239"/>
      <c r="J67" s="239"/>
    </row>
    <row r="68" spans="1:10" x14ac:dyDescent="0.2">
      <c r="A68" s="239"/>
      <c r="B68" s="239"/>
      <c r="C68" s="239"/>
      <c r="D68" s="239"/>
      <c r="E68" s="239"/>
      <c r="F68" s="239"/>
      <c r="G68" s="239"/>
      <c r="H68" s="239"/>
      <c r="I68" s="239"/>
      <c r="J68" s="239"/>
    </row>
    <row r="69" spans="1:10" x14ac:dyDescent="0.2">
      <c r="A69" s="239"/>
      <c r="B69" s="239"/>
      <c r="C69" s="239"/>
      <c r="D69" s="239"/>
      <c r="E69" s="239"/>
      <c r="F69" s="239"/>
      <c r="G69" s="239"/>
      <c r="H69" s="239"/>
      <c r="I69" s="239"/>
      <c r="J69" s="239"/>
    </row>
    <row r="70" spans="1:10" x14ac:dyDescent="0.2">
      <c r="A70" s="239"/>
      <c r="B70" s="239"/>
      <c r="C70" s="239"/>
      <c r="D70" s="239"/>
      <c r="E70" s="239"/>
      <c r="F70" s="239"/>
      <c r="G70" s="239"/>
      <c r="H70" s="239"/>
      <c r="I70" s="239"/>
      <c r="J70" s="239"/>
    </row>
    <row r="71" spans="1:10" x14ac:dyDescent="0.2">
      <c r="A71" s="239"/>
      <c r="B71" s="239"/>
      <c r="C71" s="239"/>
      <c r="D71" s="239"/>
      <c r="E71" s="239"/>
      <c r="F71" s="239"/>
      <c r="G71" s="239"/>
      <c r="H71" s="239"/>
      <c r="I71" s="239"/>
      <c r="J71" s="239"/>
    </row>
    <row r="72" spans="1:10" ht="15" x14ac:dyDescent="0.25">
      <c r="A72" s="249"/>
      <c r="B72" s="239"/>
      <c r="C72" s="914" t="s">
        <v>46</v>
      </c>
      <c r="D72" s="914"/>
      <c r="E72" s="914"/>
      <c r="F72" s="914"/>
      <c r="G72" s="914"/>
      <c r="H72" s="914"/>
      <c r="I72" s="239"/>
      <c r="J72" s="239"/>
    </row>
    <row r="73" spans="1:10" ht="15" x14ac:dyDescent="0.25">
      <c r="A73" s="915" t="s">
        <v>29</v>
      </c>
      <c r="B73" s="915"/>
      <c r="C73" s="255" t="e">
        <f>EDATE(BG!D2,-6)</f>
        <v>#NUM!</v>
      </c>
      <c r="D73" s="255" t="e">
        <f>EDATE(BG!D2,-5)</f>
        <v>#NUM!</v>
      </c>
      <c r="E73" s="255" t="e">
        <f>EDATE(BG!D2,-4)</f>
        <v>#NUM!</v>
      </c>
      <c r="F73" s="255" t="e">
        <f>EDATE(BG!D2,-3)</f>
        <v>#NUM!</v>
      </c>
      <c r="G73" s="255" t="e">
        <f>EDATE(BG!D2,-2)</f>
        <v>#NUM!</v>
      </c>
      <c r="H73" s="255" t="e">
        <f>EDATE(BG!D2,-1)</f>
        <v>#NUM!</v>
      </c>
      <c r="I73" s="245"/>
      <c r="J73" s="239"/>
    </row>
    <row r="74" spans="1:10" x14ac:dyDescent="0.2">
      <c r="A74" s="1050" t="s">
        <v>596</v>
      </c>
      <c r="B74" s="1051"/>
      <c r="C74" s="366" t="s">
        <v>185</v>
      </c>
      <c r="D74" s="366" t="s">
        <v>185</v>
      </c>
      <c r="E74" s="366" t="s">
        <v>185</v>
      </c>
      <c r="F74" s="366" t="s">
        <v>185</v>
      </c>
      <c r="G74" s="366" t="s">
        <v>185</v>
      </c>
      <c r="H74" s="366" t="s">
        <v>185</v>
      </c>
      <c r="I74" s="345"/>
      <c r="J74" s="332" t="str">
        <f>IF(SUM(C77:H77)&gt;0,"bitte hier"," ")</f>
        <v xml:space="preserve"> </v>
      </c>
    </row>
    <row r="75" spans="1:10" x14ac:dyDescent="0.2">
      <c r="A75" s="916" t="s">
        <v>47</v>
      </c>
      <c r="B75" s="916"/>
      <c r="C75" s="264"/>
      <c r="D75" s="264"/>
      <c r="E75" s="264"/>
      <c r="F75" s="264"/>
      <c r="G75" s="264"/>
      <c r="H75" s="264"/>
      <c r="I75" s="311"/>
      <c r="J75" s="367" t="str">
        <f>IF(SUM(C77:H77)&gt;0,"eintragen"," ")</f>
        <v xml:space="preserve"> </v>
      </c>
    </row>
    <row r="76" spans="1:10" x14ac:dyDescent="0.2">
      <c r="A76" s="917" t="s">
        <v>38</v>
      </c>
      <c r="B76" s="917"/>
      <c r="C76" s="266"/>
      <c r="D76" s="266"/>
      <c r="E76" s="266"/>
      <c r="F76" s="266"/>
      <c r="G76" s="266"/>
      <c r="H76" s="266"/>
      <c r="I76" s="368" t="str">
        <f>IF(SUM(C77:H77)&gt;0,"Beginn d."," ")</f>
        <v xml:space="preserve"> </v>
      </c>
      <c r="J76" s="1052"/>
    </row>
    <row r="77" spans="1:10" x14ac:dyDescent="0.2">
      <c r="A77" s="918" t="s">
        <v>242</v>
      </c>
      <c r="B77" s="918"/>
      <c r="C77" s="369"/>
      <c r="D77" s="369"/>
      <c r="E77" s="369"/>
      <c r="F77" s="369"/>
      <c r="G77" s="369"/>
      <c r="H77" s="369"/>
      <c r="I77" s="370" t="str">
        <f>IF(SUM(C77:H77)&gt;0,"Selbständigkeit:"," ")</f>
        <v xml:space="preserve"> </v>
      </c>
      <c r="J77" s="1053"/>
    </row>
    <row r="78" spans="1:10" x14ac:dyDescent="0.2">
      <c r="A78" s="239"/>
      <c r="B78" s="239"/>
      <c r="C78" s="248"/>
      <c r="D78" s="248"/>
      <c r="E78" s="142" t="s">
        <v>48</v>
      </c>
      <c r="F78" s="83">
        <f>SUM(C77:H77)</f>
        <v>0</v>
      </c>
      <c r="G78" s="81" t="s">
        <v>49</v>
      </c>
      <c r="H78" s="83" t="e">
        <f>ROUND((F78/J81),2)</f>
        <v>#NUM!</v>
      </c>
      <c r="I78" s="411" t="str">
        <f>IF(SUM(C77:H77)&gt;0,"Ende d."," ")</f>
        <v xml:space="preserve"> </v>
      </c>
      <c r="J78" s="1048"/>
    </row>
    <row r="79" spans="1:10" x14ac:dyDescent="0.2">
      <c r="A79" s="921" t="s">
        <v>50</v>
      </c>
      <c r="B79" s="922"/>
      <c r="C79" s="297"/>
      <c r="D79" s="297"/>
      <c r="E79" s="297"/>
      <c r="F79" s="297"/>
      <c r="G79" s="297"/>
      <c r="H79" s="297"/>
      <c r="I79" s="370" t="str">
        <f>IF(SUM(C77:H77)&gt;0,"Selbständigkeit:"," ")</f>
        <v xml:space="preserve"> </v>
      </c>
      <c r="J79" s="1049"/>
    </row>
    <row r="80" spans="1:10" x14ac:dyDescent="0.2">
      <c r="A80" s="923" t="s">
        <v>51</v>
      </c>
      <c r="B80" s="924"/>
      <c r="C80" s="298"/>
      <c r="D80" s="298"/>
      <c r="E80" s="298"/>
      <c r="F80" s="298"/>
      <c r="G80" s="298"/>
      <c r="H80" s="298"/>
      <c r="I80" s="1054" t="str">
        <f>IF(SUM(C77:H77)&gt;0,"Format: MM/JJ"," ")</f>
        <v xml:space="preserve"> </v>
      </c>
      <c r="J80" s="1055"/>
    </row>
    <row r="81" spans="1:10" x14ac:dyDescent="0.2">
      <c r="A81" s="925" t="s">
        <v>52</v>
      </c>
      <c r="B81" s="925"/>
      <c r="C81" s="371"/>
      <c r="D81" s="371"/>
      <c r="E81" s="371"/>
      <c r="F81" s="371"/>
      <c r="G81" s="371"/>
      <c r="H81" s="371"/>
      <c r="I81" s="198" t="e">
        <f>IF(J76&lt;MEG!C6,6,DATEDIF(J76,MEG!E6,"m")+1)</f>
        <v>#NUM!</v>
      </c>
      <c r="J81" s="199" t="e">
        <f>IF(J78=ISBLANK(0),I81,IF(J76=ISBLANK(0),I82,DATEDIF(I84,J84,"m")+1))</f>
        <v>#NUM!</v>
      </c>
    </row>
    <row r="82" spans="1:10" x14ac:dyDescent="0.2">
      <c r="A82" s="1056" t="s">
        <v>54</v>
      </c>
      <c r="B82" s="1056"/>
      <c r="C82" s="413"/>
      <c r="D82" s="413"/>
      <c r="E82" s="413"/>
      <c r="F82" s="413"/>
      <c r="G82" s="413"/>
      <c r="H82" s="413"/>
      <c r="I82" s="198" t="e">
        <f>IF(J78&lt;MEG!C6,6,DATEDIF(MEG!C6,J78,"m")+1)</f>
        <v>#NUM!</v>
      </c>
      <c r="J82" s="199"/>
    </row>
    <row r="83" spans="1:10" x14ac:dyDescent="0.2">
      <c r="A83" s="1057"/>
      <c r="B83" s="1057"/>
      <c r="C83" s="414"/>
      <c r="D83" s="414"/>
      <c r="E83" s="126" t="s">
        <v>48</v>
      </c>
      <c r="F83" s="81" t="s">
        <v>49</v>
      </c>
      <c r="G83" s="90" t="s">
        <v>53</v>
      </c>
      <c r="H83" s="91" t="e">
        <f>IF((H78-F84)&lt;0,0,(H78-F84))</f>
        <v>#NUM!</v>
      </c>
      <c r="I83" s="81"/>
      <c r="J83" s="81"/>
    </row>
    <row r="84" spans="1:10" x14ac:dyDescent="0.2">
      <c r="A84" s="239"/>
      <c r="B84" s="292"/>
      <c r="C84" s="373"/>
      <c r="D84" s="373"/>
      <c r="E84" s="83">
        <f>SUM(C81:H82)</f>
        <v>0</v>
      </c>
      <c r="F84" s="83" t="e">
        <f>ROUND((E84/J81),2)</f>
        <v>#NUM!</v>
      </c>
      <c r="G84" s="373"/>
      <c r="H84" s="374"/>
      <c r="I84" s="179" t="e">
        <f>IF(J76&lt;MEG!C6,MEG!C6,J76)</f>
        <v>#NUM!</v>
      </c>
      <c r="J84" s="179" t="e">
        <f>IF(J78&gt;MEG!E6,MEG!E6,J78)</f>
        <v>#NUM!</v>
      </c>
    </row>
    <row r="85" spans="1:10" x14ac:dyDescent="0.2">
      <c r="A85" s="925" t="s">
        <v>54</v>
      </c>
      <c r="B85" s="925"/>
      <c r="C85" s="302">
        <f t="shared" ref="C85:H85" si="13">SUM(C88,(C86*ROUND(C87,0)*0.2))</f>
        <v>0</v>
      </c>
      <c r="D85" s="302">
        <f t="shared" si="13"/>
        <v>0</v>
      </c>
      <c r="E85" s="302">
        <f t="shared" si="13"/>
        <v>0</v>
      </c>
      <c r="F85" s="302">
        <f t="shared" si="13"/>
        <v>0</v>
      </c>
      <c r="G85" s="302">
        <f t="shared" si="13"/>
        <v>0</v>
      </c>
      <c r="H85" s="302">
        <f t="shared" si="13"/>
        <v>0</v>
      </c>
      <c r="I85" s="203" t="e">
        <f>I84</f>
        <v>#NUM!</v>
      </c>
      <c r="J85" s="179" t="e">
        <f>IF(J78=ISBLANK(0),H73+1,J78)</f>
        <v>#NUM!</v>
      </c>
    </row>
    <row r="86" spans="1:10" x14ac:dyDescent="0.2">
      <c r="A86" s="927" t="s">
        <v>234</v>
      </c>
      <c r="B86" s="928"/>
      <c r="C86" s="375"/>
      <c r="D86" s="375"/>
      <c r="E86" s="375"/>
      <c r="F86" s="375"/>
      <c r="G86" s="375"/>
      <c r="H86" s="375"/>
      <c r="I86" s="202" t="e">
        <f>IF(I84&gt;C73,0,IF(J85&lt;C73,0,H83))</f>
        <v>#NUM!</v>
      </c>
      <c r="J86" s="81"/>
    </row>
    <row r="87" spans="1:10" x14ac:dyDescent="0.2">
      <c r="A87" s="927" t="s">
        <v>235</v>
      </c>
      <c r="B87" s="928"/>
      <c r="C87" s="375"/>
      <c r="D87" s="375"/>
      <c r="E87" s="375"/>
      <c r="F87" s="375"/>
      <c r="G87" s="375"/>
      <c r="H87" s="375"/>
      <c r="I87" s="202" t="e">
        <f>IF(I84&gt;D73,0,IF(J85&lt;D73,0,H83))</f>
        <v>#NUM!</v>
      </c>
      <c r="J87" s="81"/>
    </row>
    <row r="88" spans="1:10" x14ac:dyDescent="0.2">
      <c r="A88" s="929" t="s">
        <v>237</v>
      </c>
      <c r="B88" s="930"/>
      <c r="C88" s="372"/>
      <c r="D88" s="372"/>
      <c r="E88" s="372"/>
      <c r="F88" s="372"/>
      <c r="G88" s="372"/>
      <c r="H88" s="372"/>
      <c r="I88" s="202" t="e">
        <f>IF(I84&gt;E73,0,IF(J85&lt;E73,0,H83))</f>
        <v>#NUM!</v>
      </c>
      <c r="J88" s="81"/>
    </row>
    <row r="89" spans="1:10" x14ac:dyDescent="0.2">
      <c r="A89" s="926" t="s">
        <v>55</v>
      </c>
      <c r="B89" s="926"/>
      <c r="C89" s="305">
        <f t="shared" ref="C89:H89" si="14">C90*C91</f>
        <v>0</v>
      </c>
      <c r="D89" s="305">
        <f t="shared" si="14"/>
        <v>0</v>
      </c>
      <c r="E89" s="305">
        <f t="shared" si="14"/>
        <v>0</v>
      </c>
      <c r="F89" s="305">
        <f t="shared" si="14"/>
        <v>0</v>
      </c>
      <c r="G89" s="305">
        <f t="shared" si="14"/>
        <v>0</v>
      </c>
      <c r="H89" s="305">
        <f t="shared" si="14"/>
        <v>0</v>
      </c>
      <c r="I89" s="202" t="e">
        <f>IF(I84&gt;F73,0,IF(J85&lt;F73,0,H83))</f>
        <v>#NUM!</v>
      </c>
      <c r="J89" s="83"/>
    </row>
    <row r="90" spans="1:10" x14ac:dyDescent="0.2">
      <c r="A90" s="898" t="s">
        <v>238</v>
      </c>
      <c r="B90" s="899"/>
      <c r="C90" s="375"/>
      <c r="D90" s="375"/>
      <c r="E90" s="375"/>
      <c r="F90" s="375"/>
      <c r="G90" s="375"/>
      <c r="H90" s="375"/>
      <c r="I90" s="202" t="e">
        <f>IF(I84&gt;G73,0,IF(J85&lt;G73,0,H83))</f>
        <v>#NUM!</v>
      </c>
      <c r="J90" s="81"/>
    </row>
    <row r="91" spans="1:10" x14ac:dyDescent="0.2">
      <c r="A91" s="942" t="s">
        <v>239</v>
      </c>
      <c r="B91" s="943"/>
      <c r="C91" s="376"/>
      <c r="D91" s="376"/>
      <c r="E91" s="376"/>
      <c r="F91" s="376"/>
      <c r="G91" s="376"/>
      <c r="H91" s="376"/>
      <c r="I91" s="202" t="e">
        <f>IF(I84&gt;H73,0,IF(J85&lt;H73,0,H83))</f>
        <v>#NUM!</v>
      </c>
      <c r="J91" s="81"/>
    </row>
    <row r="92" spans="1:10" x14ac:dyDescent="0.2">
      <c r="A92" s="937" t="s">
        <v>236</v>
      </c>
      <c r="B92" s="938"/>
      <c r="C92" s="307"/>
      <c r="D92" s="307"/>
      <c r="E92" s="307"/>
      <c r="F92" s="307"/>
      <c r="G92" s="307"/>
      <c r="H92" s="307"/>
      <c r="I92" s="356"/>
      <c r="J92" s="84"/>
    </row>
    <row r="93" spans="1:10" x14ac:dyDescent="0.2">
      <c r="A93" s="903" t="s">
        <v>56</v>
      </c>
      <c r="B93" s="903"/>
      <c r="C93" s="307"/>
      <c r="D93" s="307"/>
      <c r="E93" s="307"/>
      <c r="F93" s="307"/>
      <c r="G93" s="307"/>
      <c r="H93" s="307"/>
      <c r="I93" s="311"/>
      <c r="J93" s="239"/>
    </row>
    <row r="94" spans="1:10" x14ac:dyDescent="0.2">
      <c r="A94" s="903" t="s">
        <v>57</v>
      </c>
      <c r="B94" s="903"/>
      <c r="C94" s="307"/>
      <c r="D94" s="307"/>
      <c r="E94" s="307"/>
      <c r="F94" s="307"/>
      <c r="G94" s="307"/>
      <c r="H94" s="307"/>
      <c r="I94" s="311"/>
      <c r="J94" s="239"/>
    </row>
    <row r="95" spans="1:10" x14ac:dyDescent="0.2">
      <c r="A95" s="903" t="s">
        <v>58</v>
      </c>
      <c r="B95" s="903"/>
      <c r="C95" s="308"/>
      <c r="D95" s="308"/>
      <c r="E95" s="308"/>
      <c r="F95" s="308"/>
      <c r="G95" s="308"/>
      <c r="H95" s="308"/>
      <c r="I95" s="311"/>
      <c r="J95" s="239"/>
    </row>
    <row r="96" spans="1:10" x14ac:dyDescent="0.2">
      <c r="A96" s="239"/>
      <c r="B96" s="239"/>
      <c r="C96" s="93" t="e">
        <f>C75+I86</f>
        <v>#NUM!</v>
      </c>
      <c r="D96" s="93" t="e">
        <f>D75+I87</f>
        <v>#NUM!</v>
      </c>
      <c r="E96" s="93" t="e">
        <f>E75+I88</f>
        <v>#NUM!</v>
      </c>
      <c r="F96" s="93" t="e">
        <f>F75+I89</f>
        <v>#NUM!</v>
      </c>
      <c r="G96" s="93" t="e">
        <f>G75+I90</f>
        <v>#NUM!</v>
      </c>
      <c r="H96" s="93" t="e">
        <f>H75+I91</f>
        <v>#NUM!</v>
      </c>
      <c r="I96" s="239"/>
      <c r="J96" s="239"/>
    </row>
    <row r="97" spans="1:10" x14ac:dyDescent="0.2">
      <c r="A97" s="903" t="s">
        <v>59</v>
      </c>
      <c r="B97" s="903"/>
      <c r="C97" s="287" t="e">
        <f>IF(C74="ja",Grundfreibeträge!G95,Grundfreibeträge!F95)</f>
        <v>#NUM!</v>
      </c>
      <c r="D97" s="287" t="e">
        <f>IF(D74="ja",Grundfreibeträge!G96,Grundfreibeträge!F96)</f>
        <v>#NUM!</v>
      </c>
      <c r="E97" s="287" t="e">
        <f>IF(E74="ja",Grundfreibeträge!G97,Grundfreibeträge!F97)</f>
        <v>#NUM!</v>
      </c>
      <c r="F97" s="287" t="e">
        <f>IF(F74="ja",Grundfreibeträge!G98,Grundfreibeträge!F98)</f>
        <v>#NUM!</v>
      </c>
      <c r="G97" s="287" t="e">
        <f>IF(G74="ja",Grundfreibeträge!G99,Grundfreibeträge!F99)</f>
        <v>#NUM!</v>
      </c>
      <c r="H97" s="287" t="e">
        <f>IF(H74="ja",Grundfreibeträge!G100,Grundfreibeträge!F100)</f>
        <v>#NUM!</v>
      </c>
      <c r="I97" s="239"/>
      <c r="J97" s="239"/>
    </row>
    <row r="98" spans="1:10" x14ac:dyDescent="0.2">
      <c r="A98" s="937" t="s">
        <v>597</v>
      </c>
      <c r="B98" s="938"/>
      <c r="C98" s="287" t="e">
        <f>MAX((MIN(C96,520)-C97)*0.2,0)</f>
        <v>#NUM!</v>
      </c>
      <c r="D98" s="287" t="e">
        <f t="shared" ref="D98:H98" si="15">MAX((MIN(D96,520)-D97)*0.2,0)</f>
        <v>#NUM!</v>
      </c>
      <c r="E98" s="287" t="e">
        <f t="shared" si="15"/>
        <v>#NUM!</v>
      </c>
      <c r="F98" s="287" t="e">
        <f t="shared" si="15"/>
        <v>#NUM!</v>
      </c>
      <c r="G98" s="287" t="e">
        <f t="shared" si="15"/>
        <v>#NUM!</v>
      </c>
      <c r="H98" s="287" t="e">
        <f t="shared" si="15"/>
        <v>#NUM!</v>
      </c>
      <c r="I98" s="778"/>
      <c r="J98" s="778"/>
    </row>
    <row r="99" spans="1:10" x14ac:dyDescent="0.2">
      <c r="A99" s="903" t="s">
        <v>60</v>
      </c>
      <c r="B99" s="903"/>
      <c r="C99" s="287" t="e">
        <f>MAX(MIN(C96-520,480)*0.3,0)</f>
        <v>#NUM!</v>
      </c>
      <c r="D99" s="287" t="e">
        <f t="shared" ref="D99:H99" si="16">MAX(MIN(D96-520,480)*0.3,0)</f>
        <v>#NUM!</v>
      </c>
      <c r="E99" s="287" t="e">
        <f t="shared" si="16"/>
        <v>#NUM!</v>
      </c>
      <c r="F99" s="287" t="e">
        <f t="shared" si="16"/>
        <v>#NUM!</v>
      </c>
      <c r="G99" s="287" t="e">
        <f t="shared" si="16"/>
        <v>#NUM!</v>
      </c>
      <c r="H99" s="287" t="e">
        <f t="shared" si="16"/>
        <v>#NUM!</v>
      </c>
      <c r="I99" s="239"/>
      <c r="J99" s="239"/>
    </row>
    <row r="100" spans="1:10" x14ac:dyDescent="0.2">
      <c r="A100" s="903" t="s">
        <v>61</v>
      </c>
      <c r="B100" s="903"/>
      <c r="C100" s="287" t="e">
        <f>IF(Grundfreibeträge!Q6="Kind ü18",Grundfreibeträge!H95,IF(C96&lt;1000,0,IF(C96&gt;=1500,50,ROUND((C96-1000)*10%,2))))</f>
        <v>#NUM!</v>
      </c>
      <c r="D100" s="287" t="e">
        <f>IF(Grundfreibeträge!Q6="Kind ü18",Grundfreibeträge!H96,IF(D96&lt;1000,0,IF(D96&gt;=1500,50,ROUND((D96-1000)*10%,2))))</f>
        <v>#NUM!</v>
      </c>
      <c r="E100" s="287" t="e">
        <f>IF(Grundfreibeträge!Q6="Kind ü18",Grundfreibeträge!H97,IF(E96&lt;1000,0,IF(E96&gt;=1500,50,ROUND((E96-1000)*10%,2))))</f>
        <v>#NUM!</v>
      </c>
      <c r="F100" s="287" t="e">
        <f>IF(Grundfreibeträge!Q6="Kind ü18",Grundfreibeträge!H98,IF(F96&lt;1000,0,IF(F96&gt;=1500,50,ROUND((F96-1000)*10%,2))))</f>
        <v>#NUM!</v>
      </c>
      <c r="G100" s="287" t="e">
        <f>IF(Grundfreibeträge!Q6="Kind ü18",Grundfreibeträge!H99,IF(G96&lt;1000,0,IF(G96&gt;=1500,50,ROUND((G96-1000)*10%,2))))</f>
        <v>#NUM!</v>
      </c>
      <c r="H100" s="287" t="e">
        <f>IF(Grundfreibeträge!Q6="Kind ü18",Grundfreibeträge!H100,IF(H96&lt;1000,0,IF(H96&gt;=1500,50,ROUND((H96-1000)*10%,2))))</f>
        <v>#NUM!</v>
      </c>
      <c r="I100" s="288" t="s">
        <v>48</v>
      </c>
      <c r="J100" s="239"/>
    </row>
    <row r="101" spans="1:10" x14ac:dyDescent="0.2">
      <c r="A101" s="903" t="s">
        <v>62</v>
      </c>
      <c r="B101" s="903"/>
      <c r="C101" s="287" t="e">
        <f>IF(C96=0,0,MAX(C96-C79-C97-C98-C99-C100,0))</f>
        <v>#NUM!</v>
      </c>
      <c r="D101" s="287" t="e">
        <f t="shared" ref="D101:H101" si="17">IF(D96=0,0,MAX(D96-D79-D97-D98-D99-D100,0))</f>
        <v>#NUM!</v>
      </c>
      <c r="E101" s="287" t="e">
        <f t="shared" si="17"/>
        <v>#NUM!</v>
      </c>
      <c r="F101" s="287" t="e">
        <f t="shared" si="17"/>
        <v>#NUM!</v>
      </c>
      <c r="G101" s="287" t="e">
        <f t="shared" si="17"/>
        <v>#NUM!</v>
      </c>
      <c r="H101" s="287" t="e">
        <f t="shared" si="17"/>
        <v>#NUM!</v>
      </c>
      <c r="I101" s="287" t="e">
        <f>SUM(C101:H101)</f>
        <v>#NUM!</v>
      </c>
      <c r="J101" s="239"/>
    </row>
    <row r="102" spans="1:10" x14ac:dyDescent="0.2">
      <c r="A102" s="239"/>
      <c r="B102" s="312"/>
      <c r="C102" s="83" t="e">
        <f>C75+C76+I86</f>
        <v>#NUM!</v>
      </c>
      <c r="D102" s="83" t="e">
        <f>D75+D76+I87</f>
        <v>#NUM!</v>
      </c>
      <c r="E102" s="83" t="e">
        <f>E75+E76+I88</f>
        <v>#NUM!</v>
      </c>
      <c r="F102" s="83" t="e">
        <f>F75+F76+I89</f>
        <v>#NUM!</v>
      </c>
      <c r="G102" s="83" t="e">
        <f>G75+G76+I90</f>
        <v>#NUM!</v>
      </c>
      <c r="H102" s="83" t="e">
        <f>H75+H76+I91</f>
        <v>#NUM!</v>
      </c>
      <c r="I102" s="294"/>
      <c r="J102" s="239"/>
    </row>
    <row r="103" spans="1:10" ht="15" x14ac:dyDescent="0.25">
      <c r="A103" s="239"/>
      <c r="B103" s="239"/>
      <c r="C103" s="83" t="e">
        <f t="shared" ref="C103:H103" si="18">IF(C102=0,0,IF(C102&lt;=100,0,IF(C102&lt;=1000,(C102-100)*20%,IF(C102&gt;1000,180))))</f>
        <v>#NUM!</v>
      </c>
      <c r="D103" s="83" t="e">
        <f t="shared" si="18"/>
        <v>#NUM!</v>
      </c>
      <c r="E103" s="83" t="e">
        <f t="shared" si="18"/>
        <v>#NUM!</v>
      </c>
      <c r="F103" s="83" t="e">
        <f t="shared" si="18"/>
        <v>#NUM!</v>
      </c>
      <c r="G103" s="83" t="e">
        <f t="shared" si="18"/>
        <v>#NUM!</v>
      </c>
      <c r="H103" s="83" t="e">
        <f t="shared" si="18"/>
        <v>#NUM!</v>
      </c>
      <c r="I103" s="313"/>
      <c r="J103" s="239"/>
    </row>
    <row r="104" spans="1:10" ht="15" x14ac:dyDescent="0.25">
      <c r="A104" s="909" t="s">
        <v>63</v>
      </c>
      <c r="B104" s="909"/>
      <c r="C104" s="97" t="e">
        <f t="shared" ref="C104:H104" si="19">IF(C102&lt;1000,0,IF(C102&gt;=1500,50,ROUND((C102-1000)*10%,2)))</f>
        <v>#NUM!</v>
      </c>
      <c r="D104" s="97" t="e">
        <f t="shared" si="19"/>
        <v>#NUM!</v>
      </c>
      <c r="E104" s="97" t="e">
        <f t="shared" si="19"/>
        <v>#NUM!</v>
      </c>
      <c r="F104" s="97" t="e">
        <f t="shared" si="19"/>
        <v>#NUM!</v>
      </c>
      <c r="G104" s="97" t="e">
        <f t="shared" si="19"/>
        <v>#NUM!</v>
      </c>
      <c r="H104" s="97" t="e">
        <f t="shared" si="19"/>
        <v>#NUM!</v>
      </c>
      <c r="I104" s="313"/>
      <c r="J104" s="239"/>
    </row>
    <row r="105" spans="1:10" x14ac:dyDescent="0.2">
      <c r="A105" s="908" t="s">
        <v>64</v>
      </c>
      <c r="B105" s="908"/>
      <c r="C105" s="296">
        <f t="shared" ref="C105:H105" si="20">IF(C76=0,0,(C103+C104)-(C99+C100))</f>
        <v>0</v>
      </c>
      <c r="D105" s="296">
        <f t="shared" si="20"/>
        <v>0</v>
      </c>
      <c r="E105" s="296">
        <f t="shared" si="20"/>
        <v>0</v>
      </c>
      <c r="F105" s="296">
        <f t="shared" si="20"/>
        <v>0</v>
      </c>
      <c r="G105" s="296">
        <f t="shared" si="20"/>
        <v>0</v>
      </c>
      <c r="H105" s="296">
        <f t="shared" si="20"/>
        <v>0</v>
      </c>
      <c r="I105" s="314" t="s">
        <v>48</v>
      </c>
      <c r="J105" s="239"/>
    </row>
    <row r="106" spans="1:10" x14ac:dyDescent="0.2">
      <c r="A106" s="810" t="s">
        <v>65</v>
      </c>
      <c r="B106" s="810"/>
      <c r="C106" s="287">
        <f t="shared" ref="C106:H106" si="21">IF(C76=0,0,IF(AND(C76&gt;0,C96&gt;0),C76-C80-C105,IF(C76-C80-C105-C97&lt;0,0,C76-C80-C105-C97)))</f>
        <v>0</v>
      </c>
      <c r="D106" s="287">
        <f t="shared" si="21"/>
        <v>0</v>
      </c>
      <c r="E106" s="287">
        <f t="shared" si="21"/>
        <v>0</v>
      </c>
      <c r="F106" s="287">
        <f t="shared" si="21"/>
        <v>0</v>
      </c>
      <c r="G106" s="287">
        <f t="shared" si="21"/>
        <v>0</v>
      </c>
      <c r="H106" s="287">
        <f t="shared" si="21"/>
        <v>0</v>
      </c>
      <c r="I106" s="287">
        <f>SUM(C106:H106)</f>
        <v>0</v>
      </c>
      <c r="J106" s="239"/>
    </row>
    <row r="107" spans="1:10" x14ac:dyDescent="0.2">
      <c r="A107" s="239"/>
      <c r="B107" s="239"/>
      <c r="C107" s="239"/>
      <c r="D107" s="239"/>
      <c r="E107" s="239"/>
      <c r="F107" s="239"/>
      <c r="G107" s="239"/>
      <c r="H107" s="239"/>
      <c r="I107" s="239"/>
      <c r="J107" s="239"/>
    </row>
    <row r="108" spans="1:10" x14ac:dyDescent="0.2">
      <c r="A108" s="239"/>
      <c r="B108" s="239"/>
      <c r="C108" s="239"/>
      <c r="D108" s="239"/>
      <c r="E108" s="239"/>
      <c r="F108" s="239"/>
      <c r="G108" s="239"/>
      <c r="H108" s="239"/>
      <c r="I108" s="239"/>
      <c r="J108" s="239"/>
    </row>
    <row r="109" spans="1:10" x14ac:dyDescent="0.2">
      <c r="A109" s="239"/>
      <c r="B109" s="239"/>
      <c r="C109" s="239"/>
      <c r="D109" s="239"/>
      <c r="E109" s="239"/>
      <c r="F109" s="239"/>
      <c r="G109" s="239"/>
      <c r="H109" s="239"/>
      <c r="I109" s="239"/>
      <c r="J109" s="239"/>
    </row>
    <row r="110" spans="1:10" ht="15" x14ac:dyDescent="0.25">
      <c r="A110" s="239"/>
      <c r="B110" s="944" t="s">
        <v>80</v>
      </c>
      <c r="C110" s="945"/>
      <c r="D110" s="946"/>
      <c r="E110" s="350" t="s">
        <v>48</v>
      </c>
      <c r="F110" s="377" t="s">
        <v>49</v>
      </c>
      <c r="G110" s="239"/>
      <c r="H110" s="239"/>
      <c r="I110" s="239"/>
      <c r="J110" s="239"/>
    </row>
    <row r="111" spans="1:10" x14ac:dyDescent="0.2">
      <c r="A111" s="239"/>
      <c r="B111" s="947" t="s">
        <v>81</v>
      </c>
      <c r="C111" s="948"/>
      <c r="D111" s="949"/>
      <c r="E111" s="352" t="e">
        <f>I101+I106</f>
        <v>#NUM!</v>
      </c>
      <c r="F111" s="352" t="e">
        <f>E111/6</f>
        <v>#NUM!</v>
      </c>
      <c r="G111" s="239"/>
      <c r="H111" s="239"/>
      <c r="I111" s="239"/>
      <c r="J111" s="239"/>
    </row>
    <row r="112" spans="1:10" x14ac:dyDescent="0.2">
      <c r="A112" s="239"/>
      <c r="B112" s="947" t="s">
        <v>82</v>
      </c>
      <c r="C112" s="948"/>
      <c r="D112" s="949"/>
      <c r="E112" s="352">
        <f>I64</f>
        <v>0</v>
      </c>
      <c r="F112" s="352">
        <f>E112/6</f>
        <v>0</v>
      </c>
      <c r="G112" s="239"/>
      <c r="H112" s="239"/>
      <c r="I112" s="239"/>
      <c r="J112" s="239"/>
    </row>
    <row r="113" spans="1:10" ht="15" x14ac:dyDescent="0.25">
      <c r="A113" s="239"/>
      <c r="B113" s="239"/>
      <c r="C113" s="239"/>
      <c r="D113" s="239"/>
      <c r="E113" s="378" t="s">
        <v>84</v>
      </c>
      <c r="F113" s="353" t="e">
        <f>F111+F112</f>
        <v>#NUM!</v>
      </c>
      <c r="G113" s="239"/>
      <c r="H113" s="239"/>
      <c r="I113" s="239"/>
      <c r="J113" s="239"/>
    </row>
    <row r="114" spans="1:10" x14ac:dyDescent="0.2">
      <c r="A114" s="239"/>
      <c r="B114" s="239"/>
      <c r="C114" s="239"/>
      <c r="D114" s="239"/>
      <c r="E114" s="239"/>
      <c r="F114" s="239"/>
      <c r="G114" s="239"/>
      <c r="H114" s="239"/>
      <c r="I114" s="239"/>
      <c r="J114" s="239"/>
    </row>
    <row r="115" spans="1:10" x14ac:dyDescent="0.2">
      <c r="A115" s="239"/>
      <c r="B115" s="239"/>
      <c r="C115" s="239"/>
      <c r="D115" s="239"/>
      <c r="E115" s="239"/>
      <c r="F115" s="239"/>
      <c r="G115" s="239"/>
      <c r="H115" s="239"/>
      <c r="I115" s="239"/>
      <c r="J115" s="239"/>
    </row>
    <row r="116" spans="1:10" x14ac:dyDescent="0.2">
      <c r="A116" s="239"/>
      <c r="B116" s="239"/>
      <c r="C116" s="239"/>
      <c r="D116" s="239"/>
      <c r="E116" s="239"/>
      <c r="F116" s="239"/>
      <c r="G116" s="239"/>
      <c r="H116" s="239"/>
      <c r="I116" s="239"/>
      <c r="J116" s="239"/>
    </row>
    <row r="117" spans="1:10" x14ac:dyDescent="0.2">
      <c r="A117" s="239"/>
      <c r="B117" s="239"/>
      <c r="C117" s="239"/>
      <c r="D117" s="239"/>
      <c r="E117" s="239"/>
      <c r="F117" s="239"/>
      <c r="G117" s="239"/>
      <c r="H117" s="239"/>
      <c r="I117" s="239"/>
      <c r="J117" s="239"/>
    </row>
    <row r="118" spans="1:10" x14ac:dyDescent="0.2">
      <c r="A118" s="239"/>
      <c r="B118" s="239"/>
      <c r="C118" s="239"/>
      <c r="D118" s="239"/>
      <c r="E118" s="239"/>
      <c r="F118" s="239"/>
      <c r="G118" s="239"/>
      <c r="H118" s="239"/>
      <c r="I118" s="239"/>
      <c r="J118" s="239"/>
    </row>
    <row r="119" spans="1:10" x14ac:dyDescent="0.2">
      <c r="A119" s="239"/>
      <c r="B119" s="239"/>
      <c r="C119" s="239"/>
      <c r="D119" s="239"/>
      <c r="E119" s="239"/>
      <c r="F119" s="1058" t="s">
        <v>85</v>
      </c>
      <c r="G119" s="1058"/>
      <c r="H119" s="379"/>
      <c r="I119" s="239"/>
      <c r="J119" s="239"/>
    </row>
    <row r="120" spans="1:10" x14ac:dyDescent="0.2">
      <c r="A120" s="239"/>
      <c r="B120" s="239"/>
      <c r="C120" s="239"/>
      <c r="D120" s="239"/>
      <c r="E120" s="239"/>
      <c r="F120" s="1059" t="s">
        <v>86</v>
      </c>
      <c r="G120" s="1059"/>
      <c r="H120" s="380"/>
      <c r="I120" s="239"/>
      <c r="J120" s="239"/>
    </row>
    <row r="121" spans="1:10" ht="15" x14ac:dyDescent="0.25">
      <c r="A121" s="239"/>
      <c r="B121" s="239"/>
      <c r="C121" s="239"/>
      <c r="D121" s="239"/>
      <c r="E121" s="239"/>
      <c r="F121" s="1060" t="s">
        <v>87</v>
      </c>
      <c r="G121" s="1060"/>
      <c r="H121" s="381" t="e">
        <f>IF(Kurzantrag!C25&gt;0,Kurzantrag!C25,ROUND(F113*45%,2))</f>
        <v>#NUM!</v>
      </c>
      <c r="I121" s="239"/>
      <c r="J121" s="239"/>
    </row>
    <row r="122" spans="1:10" x14ac:dyDescent="0.2">
      <c r="A122" s="239"/>
      <c r="B122" s="239"/>
      <c r="C122" s="239"/>
      <c r="D122" s="239"/>
      <c r="E122" s="239"/>
      <c r="F122" s="239"/>
      <c r="G122" s="239"/>
      <c r="H122" s="239"/>
      <c r="I122" s="239"/>
      <c r="J122" s="239"/>
    </row>
    <row r="123" spans="1:10" x14ac:dyDescent="0.2">
      <c r="A123" s="322"/>
      <c r="B123" s="322"/>
      <c r="C123" s="322"/>
      <c r="D123" s="322"/>
      <c r="E123" s="322"/>
      <c r="F123" s="322"/>
      <c r="G123" s="322"/>
      <c r="H123" s="322"/>
      <c r="I123" s="322"/>
      <c r="J123" s="322"/>
    </row>
    <row r="124" spans="1:10" x14ac:dyDescent="0.2">
      <c r="A124" s="239"/>
      <c r="B124" s="239"/>
      <c r="C124" s="239"/>
      <c r="D124" s="239"/>
      <c r="E124" s="239"/>
      <c r="F124" s="239"/>
      <c r="G124" s="239"/>
      <c r="H124" s="239"/>
      <c r="I124" s="239"/>
      <c r="J124" s="239"/>
    </row>
    <row r="125" spans="1:10" x14ac:dyDescent="0.2">
      <c r="A125" s="127"/>
      <c r="B125" s="127"/>
      <c r="C125" s="127"/>
      <c r="D125" s="127"/>
      <c r="E125" s="127"/>
      <c r="F125" s="127"/>
      <c r="G125" s="127"/>
      <c r="H125" s="127"/>
      <c r="I125" s="127"/>
      <c r="J125" s="127"/>
    </row>
    <row r="126" spans="1:10" x14ac:dyDescent="0.2">
      <c r="A126" s="127"/>
      <c r="B126" s="127"/>
      <c r="C126" s="127"/>
      <c r="D126" s="127"/>
      <c r="E126" s="127"/>
      <c r="F126" s="127"/>
      <c r="G126" s="127"/>
      <c r="H126" s="127"/>
      <c r="I126" s="127"/>
      <c r="J126" s="127"/>
    </row>
    <row r="127" spans="1:10" x14ac:dyDescent="0.2">
      <c r="A127" s="2"/>
      <c r="B127" s="2"/>
      <c r="C127" s="2"/>
      <c r="D127" s="2"/>
      <c r="E127" s="2"/>
      <c r="F127" s="2"/>
      <c r="G127" s="2"/>
      <c r="H127" s="2"/>
      <c r="I127" s="2"/>
      <c r="J127" s="2"/>
    </row>
    <row r="128" spans="1:10" x14ac:dyDescent="0.2">
      <c r="A128" s="2"/>
      <c r="B128" s="2"/>
      <c r="C128" s="2"/>
      <c r="D128" s="2"/>
      <c r="E128" s="2"/>
      <c r="F128" s="2"/>
      <c r="G128" s="2"/>
      <c r="H128" s="2"/>
      <c r="I128" s="2"/>
      <c r="J128" s="2"/>
    </row>
    <row r="129" spans="1:10" x14ac:dyDescent="0.2">
      <c r="A129" s="2"/>
      <c r="B129" s="2"/>
      <c r="C129" s="2"/>
      <c r="D129" s="2"/>
      <c r="E129" s="2"/>
      <c r="F129" s="2"/>
      <c r="G129" s="2"/>
      <c r="H129" s="2"/>
      <c r="I129" s="2"/>
      <c r="J129" s="2"/>
    </row>
    <row r="130" spans="1:10" x14ac:dyDescent="0.2">
      <c r="A130" s="2"/>
      <c r="B130" s="2"/>
      <c r="C130" s="2"/>
      <c r="D130" s="2"/>
      <c r="E130" s="2"/>
      <c r="F130" s="2"/>
      <c r="G130" s="2"/>
      <c r="H130" s="2"/>
      <c r="I130" s="2"/>
      <c r="J130" s="2"/>
    </row>
    <row r="131" spans="1:10" x14ac:dyDescent="0.2">
      <c r="A131" s="2"/>
      <c r="B131" s="2"/>
      <c r="C131" s="2"/>
      <c r="D131" s="2"/>
      <c r="E131" s="2"/>
      <c r="F131" s="2"/>
      <c r="G131" s="2"/>
      <c r="H131" s="2"/>
      <c r="I131" s="2"/>
      <c r="J131" s="2"/>
    </row>
    <row r="132" spans="1:10" x14ac:dyDescent="0.2">
      <c r="A132" s="2"/>
      <c r="B132" s="2"/>
      <c r="C132" s="2"/>
      <c r="D132" s="2"/>
      <c r="E132" s="2"/>
      <c r="F132" s="2"/>
      <c r="G132" s="2"/>
      <c r="H132" s="2"/>
      <c r="I132" s="2"/>
      <c r="J132" s="2"/>
    </row>
    <row r="133" spans="1:10" x14ac:dyDescent="0.2">
      <c r="A133" s="2"/>
      <c r="B133" s="2"/>
      <c r="C133" s="2"/>
      <c r="D133" s="2"/>
      <c r="E133" s="2"/>
      <c r="F133" s="2"/>
      <c r="G133" s="2"/>
      <c r="H133" s="2"/>
      <c r="I133" s="2"/>
      <c r="J133" s="2"/>
    </row>
    <row r="134" spans="1:10" x14ac:dyDescent="0.2">
      <c r="A134" s="2"/>
      <c r="B134" s="2"/>
      <c r="C134" s="2"/>
      <c r="D134" s="2"/>
      <c r="E134" s="2"/>
      <c r="F134" s="2"/>
      <c r="G134" s="2"/>
      <c r="H134" s="2"/>
      <c r="I134" s="2"/>
      <c r="J134" s="2"/>
    </row>
    <row r="135" spans="1:10" x14ac:dyDescent="0.2">
      <c r="A135" s="2"/>
      <c r="B135" s="2"/>
      <c r="C135" s="2"/>
      <c r="D135" s="2"/>
      <c r="E135" s="2"/>
      <c r="F135" s="2"/>
      <c r="G135" s="2"/>
      <c r="H135" s="2"/>
      <c r="I135" s="2"/>
      <c r="J135" s="2"/>
    </row>
  </sheetData>
  <sheetProtection algorithmName="SHA-512" hashValue="GPysuq+9IsLl12ILQ7ipKzHgCkSp7jOYSahc/Y8v/F71TEeUEFyI2ELPv1oW1nTRHKgyk/IXpb9qzJgytRT3Fw==" saltValue="D0XfEhXVTeA47qLozhtchQ==" spinCount="100000" sheet="1" formatCells="0" formatColumns="0" formatRows="0" insertColumns="0" insertRows="0" insertHyperlinks="0" deleteColumns="0" deleteRows="0" sort="0" autoFilter="0" pivotTables="0"/>
  <mergeCells count="84">
    <mergeCell ref="J76:J77"/>
    <mergeCell ref="J78:J79"/>
    <mergeCell ref="I80:J80"/>
    <mergeCell ref="F119:G119"/>
    <mergeCell ref="F120:G120"/>
    <mergeCell ref="F121:G121"/>
    <mergeCell ref="A104:B104"/>
    <mergeCell ref="A105:B105"/>
    <mergeCell ref="A106:B106"/>
    <mergeCell ref="B110:D110"/>
    <mergeCell ref="B111:D111"/>
    <mergeCell ref="B112:D112"/>
    <mergeCell ref="A101:B101"/>
    <mergeCell ref="A88:B88"/>
    <mergeCell ref="A89:B89"/>
    <mergeCell ref="A90:B90"/>
    <mergeCell ref="A91:B91"/>
    <mergeCell ref="A92:B92"/>
    <mergeCell ref="A93:B93"/>
    <mergeCell ref="A94:B94"/>
    <mergeCell ref="A95:B95"/>
    <mergeCell ref="A97:B97"/>
    <mergeCell ref="A99:B99"/>
    <mergeCell ref="A100:B100"/>
    <mergeCell ref="A98:B98"/>
    <mergeCell ref="C72:H72"/>
    <mergeCell ref="A87:B87"/>
    <mergeCell ref="A74:B74"/>
    <mergeCell ref="A75:B75"/>
    <mergeCell ref="A76:B76"/>
    <mergeCell ref="A77:B77"/>
    <mergeCell ref="A79:B79"/>
    <mergeCell ref="A80:B80"/>
    <mergeCell ref="A81:B81"/>
    <mergeCell ref="A82:B82"/>
    <mergeCell ref="A83:B83"/>
    <mergeCell ref="A85:B85"/>
    <mergeCell ref="A86:B86"/>
    <mergeCell ref="A73:B73"/>
    <mergeCell ref="A49:B49"/>
    <mergeCell ref="A50:B50"/>
    <mergeCell ref="A51:B51"/>
    <mergeCell ref="A52:B52"/>
    <mergeCell ref="A53:B53"/>
    <mergeCell ref="A56:B56"/>
    <mergeCell ref="A57:B57"/>
    <mergeCell ref="A58:B58"/>
    <mergeCell ref="A59:B59"/>
    <mergeCell ref="A60:B60"/>
    <mergeCell ref="A48:B48"/>
    <mergeCell ref="B32:C32"/>
    <mergeCell ref="A37:B37"/>
    <mergeCell ref="A38:B38"/>
    <mergeCell ref="A39:B39"/>
    <mergeCell ref="A41:B41"/>
    <mergeCell ref="A42:B42"/>
    <mergeCell ref="A43:B43"/>
    <mergeCell ref="A44:B44"/>
    <mergeCell ref="A45:B45"/>
    <mergeCell ref="A46:B46"/>
    <mergeCell ref="A47:B47"/>
    <mergeCell ref="B31:C31"/>
    <mergeCell ref="A16:B16"/>
    <mergeCell ref="A18:B18"/>
    <mergeCell ref="A20:B20"/>
    <mergeCell ref="A21:B21"/>
    <mergeCell ref="A22:B22"/>
    <mergeCell ref="A24:B24"/>
    <mergeCell ref="A25:B25"/>
    <mergeCell ref="A26:B26"/>
    <mergeCell ref="A27:B27"/>
    <mergeCell ref="B30:C30"/>
    <mergeCell ref="A15:B15"/>
    <mergeCell ref="C1:H1"/>
    <mergeCell ref="A3:B3"/>
    <mergeCell ref="A4:B4"/>
    <mergeCell ref="A5:B5"/>
    <mergeCell ref="A6:B6"/>
    <mergeCell ref="A8:B8"/>
    <mergeCell ref="A9:B9"/>
    <mergeCell ref="A10:B10"/>
    <mergeCell ref="A11:B11"/>
    <mergeCell ref="A13:B13"/>
    <mergeCell ref="A14:B14"/>
  </mergeCells>
  <dataValidations count="3">
    <dataValidation type="list" allowBlank="1" showInputMessage="1" showErrorMessage="1" sqref="C74:H74" xr:uid="{00000000-0002-0000-1300-000000000000}">
      <formula1>".,ja,nein"</formula1>
    </dataValidation>
    <dataValidation type="decimal" allowBlank="1" showInputMessage="1" showErrorMessage="1" error="Der eingegebene Wert ist unzulässig. Bitte geben Sie eine Zahl ein, die größer 0 ist." sqref="C3:H6 C8:H11 C13:H16 C18:H22 C24:H27 C38:H39 C41:H41 C43:H45 C47:H49 C52:H53 C57:H59 C75:H77 C79:H82 C86:H88 C90:H95" xr:uid="{00000000-0002-0000-1300-000001000000}">
      <formula1>0</formula1>
      <formula2>1000000</formula2>
    </dataValidation>
    <dataValidation allowBlank="1" showInputMessage="1" showErrorMessage="1" prompt="Bitte geben Sie das Datum im Format MM/JJ ein (z.B. 03/19)." sqref="J76:J79" xr:uid="{00000000-0002-0000-1300-000002000000}"/>
  </dataValidations>
  <pageMargins left="0.70866141732283472" right="0.70866141732283472" top="0.8666666666666667" bottom="0.78740157480314965" header="0.31496062992125984" footer="0.31496062992125984"/>
  <pageSetup paperSize="9" scale="80" orientation="landscape" r:id="rId1"/>
  <headerFooter>
    <oddHeader>&amp;L&amp;"Arial,Fett"&amp;U9. Berechnung des Kinderzuschlags:&amp;R&amp;D</oddHeader>
    <oddFooter>&amp;R&amp;P</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6"/>
  <dimension ref="A1:J134"/>
  <sheetViews>
    <sheetView showGridLines="0" zoomScaleNormal="100" workbookViewId="0">
      <selection activeCell="C18" sqref="C18"/>
    </sheetView>
  </sheetViews>
  <sheetFormatPr baseColWidth="10" defaultRowHeight="14.25" x14ac:dyDescent="0.2"/>
  <cols>
    <col min="1" max="16384" width="11" style="1"/>
  </cols>
  <sheetData>
    <row r="1" spans="1:10" ht="15" x14ac:dyDescent="0.25">
      <c r="A1" s="313"/>
      <c r="B1" s="240"/>
      <c r="C1" s="914" t="s">
        <v>251</v>
      </c>
      <c r="D1" s="914"/>
      <c r="E1" s="914"/>
      <c r="F1" s="914"/>
      <c r="G1" s="914"/>
      <c r="H1" s="914"/>
      <c r="I1" s="239"/>
      <c r="J1" s="239"/>
    </row>
    <row r="2" spans="1:10" ht="15" x14ac:dyDescent="0.25">
      <c r="A2" s="407" t="s">
        <v>29</v>
      </c>
      <c r="B2" s="408"/>
      <c r="C2" s="255" t="e">
        <f>EDATE(BG!D2,-6)</f>
        <v>#NUM!</v>
      </c>
      <c r="D2" s="255" t="e">
        <f>EDATE(BG!D2,-5)</f>
        <v>#NUM!</v>
      </c>
      <c r="E2" s="255" t="e">
        <f>EDATE(BG!D2,-4)</f>
        <v>#NUM!</v>
      </c>
      <c r="F2" s="255" t="e">
        <f>EDATE(BG!D2,-3)</f>
        <v>#NUM!</v>
      </c>
      <c r="G2" s="255" t="e">
        <f>EDATE(BG!D2,-2)</f>
        <v>#NUM!</v>
      </c>
      <c r="H2" s="255" t="e">
        <f>EDATE(BG!D2,-1)</f>
        <v>#NUM!</v>
      </c>
      <c r="I2" s="239"/>
      <c r="J2" s="239"/>
    </row>
    <row r="3" spans="1:10" x14ac:dyDescent="0.2">
      <c r="A3" s="892" t="s">
        <v>66</v>
      </c>
      <c r="B3" s="893"/>
      <c r="C3" s="297"/>
      <c r="D3" s="297"/>
      <c r="E3" s="297"/>
      <c r="F3" s="297"/>
      <c r="G3" s="297"/>
      <c r="H3" s="297"/>
      <c r="I3" s="239"/>
      <c r="J3" s="239"/>
    </row>
    <row r="4" spans="1:10" x14ac:dyDescent="0.2">
      <c r="A4" s="886" t="s">
        <v>38</v>
      </c>
      <c r="B4" s="887"/>
      <c r="C4" s="298"/>
      <c r="D4" s="298"/>
      <c r="E4" s="298"/>
      <c r="F4" s="298"/>
      <c r="G4" s="298"/>
      <c r="H4" s="298"/>
      <c r="I4" s="239"/>
      <c r="J4" s="239"/>
    </row>
    <row r="5" spans="1:10" x14ac:dyDescent="0.2">
      <c r="A5" s="888" t="s">
        <v>67</v>
      </c>
      <c r="B5" s="889"/>
      <c r="C5" s="317"/>
      <c r="D5" s="317"/>
      <c r="E5" s="317"/>
      <c r="F5" s="317"/>
      <c r="G5" s="317"/>
      <c r="H5" s="317"/>
      <c r="I5" s="239"/>
      <c r="J5" s="239"/>
    </row>
    <row r="6" spans="1:10" x14ac:dyDescent="0.2">
      <c r="A6" s="912" t="s">
        <v>68</v>
      </c>
      <c r="B6" s="913"/>
      <c r="C6" s="318"/>
      <c r="D6" s="318"/>
      <c r="E6" s="318"/>
      <c r="F6" s="318"/>
      <c r="G6" s="318"/>
      <c r="H6" s="318"/>
      <c r="I6" s="239"/>
      <c r="J6" s="239"/>
    </row>
    <row r="7" spans="1:10" x14ac:dyDescent="0.2">
      <c r="A7" s="319"/>
      <c r="B7" s="319"/>
      <c r="C7" s="143">
        <f t="shared" ref="C7:H7" si="0">IF((C3+C4)=0,0,IF(AND((C3-C5)&gt;=0,(C4-C6)&gt;=0),(C3+C4-C5-C6),IF(AND((C3-C5)&gt;0,(C4-C6)&lt;0),(C3-C5),IF(AND((C3-C5)&lt;0,(C4-C6)&gt;0),(C4-C6),IF((C3-C5)&gt;0,(C3-C5),IF((C3-C5)&lt;0,0))))))</f>
        <v>0</v>
      </c>
      <c r="D7" s="143">
        <f t="shared" si="0"/>
        <v>0</v>
      </c>
      <c r="E7" s="143">
        <f t="shared" si="0"/>
        <v>0</v>
      </c>
      <c r="F7" s="143">
        <f t="shared" si="0"/>
        <v>0</v>
      </c>
      <c r="G7" s="143">
        <f t="shared" si="0"/>
        <v>0</v>
      </c>
      <c r="H7" s="143">
        <f t="shared" si="0"/>
        <v>0</v>
      </c>
      <c r="I7" s="239"/>
      <c r="J7" s="239"/>
    </row>
    <row r="8" spans="1:10" x14ac:dyDescent="0.2">
      <c r="A8" s="933" t="s">
        <v>69</v>
      </c>
      <c r="B8" s="934"/>
      <c r="C8" s="297"/>
      <c r="D8" s="297"/>
      <c r="E8" s="297"/>
      <c r="F8" s="297"/>
      <c r="G8" s="297"/>
      <c r="H8" s="297"/>
      <c r="I8" s="239"/>
      <c r="J8" s="239"/>
    </row>
    <row r="9" spans="1:10" x14ac:dyDescent="0.2">
      <c r="A9" s="935" t="s">
        <v>38</v>
      </c>
      <c r="B9" s="936"/>
      <c r="C9" s="298"/>
      <c r="D9" s="298"/>
      <c r="E9" s="298"/>
      <c r="F9" s="298"/>
      <c r="G9" s="298"/>
      <c r="H9" s="298"/>
      <c r="I9" s="239"/>
      <c r="J9" s="239"/>
    </row>
    <row r="10" spans="1:10" x14ac:dyDescent="0.2">
      <c r="A10" s="888" t="s">
        <v>67</v>
      </c>
      <c r="B10" s="889"/>
      <c r="C10" s="297"/>
      <c r="D10" s="297"/>
      <c r="E10" s="297"/>
      <c r="F10" s="297"/>
      <c r="G10" s="297"/>
      <c r="H10" s="297"/>
      <c r="I10" s="239"/>
      <c r="J10" s="239"/>
    </row>
    <row r="11" spans="1:10" x14ac:dyDescent="0.2">
      <c r="A11" s="912" t="s">
        <v>68</v>
      </c>
      <c r="B11" s="913"/>
      <c r="C11" s="318"/>
      <c r="D11" s="318"/>
      <c r="E11" s="318"/>
      <c r="F11" s="318"/>
      <c r="G11" s="318"/>
      <c r="H11" s="318"/>
      <c r="I11" s="239"/>
      <c r="J11" s="239"/>
    </row>
    <row r="12" spans="1:10" x14ac:dyDescent="0.2">
      <c r="A12" s="321"/>
      <c r="B12" s="321"/>
      <c r="C12" s="143">
        <f t="shared" ref="C12:H12" si="1">IF((C8+C9)=0,0,IF(AND((C8-C10)&gt;=0,(C9-C11)&gt;=0),(C8+C9-C10-C11),IF(AND((C8-C10)&gt;0,(C9-C11)&lt;0),(C8-C10),IF(AND((C8-C10)&lt;0,(C9-C11)&gt;0),(C9-C11),IF((C8-C10)&gt;0,(C8-C10),IF((C8-C10)&lt;0,0))))))</f>
        <v>0</v>
      </c>
      <c r="D12" s="143">
        <f t="shared" si="1"/>
        <v>0</v>
      </c>
      <c r="E12" s="143">
        <f t="shared" si="1"/>
        <v>0</v>
      </c>
      <c r="F12" s="143">
        <f t="shared" si="1"/>
        <v>0</v>
      </c>
      <c r="G12" s="143">
        <f t="shared" si="1"/>
        <v>0</v>
      </c>
      <c r="H12" s="143">
        <f t="shared" si="1"/>
        <v>0</v>
      </c>
      <c r="I12" s="239"/>
      <c r="J12" s="239"/>
    </row>
    <row r="13" spans="1:10" x14ac:dyDescent="0.2">
      <c r="A13" s="892" t="s">
        <v>70</v>
      </c>
      <c r="B13" s="893"/>
      <c r="C13" s="297"/>
      <c r="D13" s="297"/>
      <c r="E13" s="297"/>
      <c r="F13" s="297"/>
      <c r="G13" s="297"/>
      <c r="H13" s="297"/>
      <c r="I13" s="239"/>
      <c r="J13" s="239"/>
    </row>
    <row r="14" spans="1:10" x14ac:dyDescent="0.2">
      <c r="A14" s="886" t="s">
        <v>38</v>
      </c>
      <c r="B14" s="887"/>
      <c r="C14" s="298"/>
      <c r="D14" s="298"/>
      <c r="E14" s="298"/>
      <c r="F14" s="298"/>
      <c r="G14" s="298"/>
      <c r="H14" s="298"/>
      <c r="I14" s="239"/>
      <c r="J14" s="239"/>
    </row>
    <row r="15" spans="1:10" x14ac:dyDescent="0.2">
      <c r="A15" s="888" t="s">
        <v>67</v>
      </c>
      <c r="B15" s="889"/>
      <c r="C15" s="323"/>
      <c r="D15" s="297"/>
      <c r="E15" s="297"/>
      <c r="F15" s="297"/>
      <c r="G15" s="297"/>
      <c r="H15" s="297"/>
      <c r="I15" s="239"/>
      <c r="J15" s="239"/>
    </row>
    <row r="16" spans="1:10" x14ac:dyDescent="0.2">
      <c r="A16" s="912" t="s">
        <v>68</v>
      </c>
      <c r="B16" s="913"/>
      <c r="C16" s="324"/>
      <c r="D16" s="325"/>
      <c r="E16" s="325"/>
      <c r="F16" s="325"/>
      <c r="G16" s="325"/>
      <c r="H16" s="325"/>
      <c r="I16" s="239"/>
      <c r="J16" s="239"/>
    </row>
    <row r="17" spans="1:10" x14ac:dyDescent="0.2">
      <c r="A17" s="321"/>
      <c r="B17" s="321"/>
      <c r="C17" s="143">
        <f t="shared" ref="C17:H17" si="2">IF((C13+C14)=0,0,IF(AND((C13-C15)&gt;=0,(C14-C16)&gt;=0),(C13+C14-C15-C16),IF(AND((C13-C15)&gt;0,(C14-C16)&lt;0),(C13-C15),IF(AND((C13-C15)&lt;0,(C14-C16)&gt;0),(C14-C16),IF((C13-C15)&gt;0,(C13-C15),IF((C13-C15)&lt;0,0))))))</f>
        <v>0</v>
      </c>
      <c r="D17" s="143">
        <f t="shared" si="2"/>
        <v>0</v>
      </c>
      <c r="E17" s="143">
        <f t="shared" si="2"/>
        <v>0</v>
      </c>
      <c r="F17" s="143">
        <f t="shared" si="2"/>
        <v>0</v>
      </c>
      <c r="G17" s="143">
        <f t="shared" si="2"/>
        <v>0</v>
      </c>
      <c r="H17" s="143">
        <f t="shared" si="2"/>
        <v>0</v>
      </c>
      <c r="I17" s="239"/>
      <c r="J17" s="239"/>
    </row>
    <row r="18" spans="1:10" x14ac:dyDescent="0.2">
      <c r="A18" s="892" t="s">
        <v>516</v>
      </c>
      <c r="B18" s="893"/>
      <c r="C18" s="328"/>
      <c r="D18" s="328"/>
      <c r="E18" s="328"/>
      <c r="F18" s="328"/>
      <c r="G18" s="328"/>
      <c r="H18" s="328"/>
      <c r="I18" s="239"/>
      <c r="J18" s="239"/>
    </row>
    <row r="19" spans="1:10" x14ac:dyDescent="0.2">
      <c r="A19" s="607"/>
      <c r="B19" s="608" t="s">
        <v>517</v>
      </c>
      <c r="C19" s="609"/>
      <c r="D19" s="609"/>
      <c r="E19" s="609"/>
      <c r="F19" s="609"/>
      <c r="G19" s="609"/>
      <c r="H19" s="609"/>
      <c r="I19" s="239"/>
      <c r="J19" s="239"/>
    </row>
    <row r="20" spans="1:10" x14ac:dyDescent="0.2">
      <c r="A20" s="886" t="s">
        <v>515</v>
      </c>
      <c r="B20" s="887"/>
      <c r="C20" s="362"/>
      <c r="D20" s="362"/>
      <c r="E20" s="362"/>
      <c r="F20" s="362"/>
      <c r="G20" s="362"/>
      <c r="H20" s="362"/>
      <c r="I20" s="239"/>
      <c r="J20" s="239"/>
    </row>
    <row r="21" spans="1:10" x14ac:dyDescent="0.2">
      <c r="A21" s="888" t="s">
        <v>67</v>
      </c>
      <c r="B21" s="889"/>
      <c r="C21" s="323"/>
      <c r="D21" s="328"/>
      <c r="E21" s="328"/>
      <c r="F21" s="328"/>
      <c r="G21" s="328"/>
      <c r="H21" s="328"/>
      <c r="I21" s="239"/>
      <c r="J21" s="239"/>
    </row>
    <row r="22" spans="1:10" x14ac:dyDescent="0.2">
      <c r="A22" s="912" t="s">
        <v>68</v>
      </c>
      <c r="B22" s="913"/>
      <c r="C22" s="329"/>
      <c r="D22" s="318"/>
      <c r="E22" s="318"/>
      <c r="F22" s="318"/>
      <c r="G22" s="318"/>
      <c r="H22" s="318"/>
      <c r="I22" s="239"/>
      <c r="J22" s="239"/>
    </row>
    <row r="23" spans="1:10" s="614" customFormat="1" x14ac:dyDescent="0.2">
      <c r="A23" s="615"/>
      <c r="B23" s="615"/>
      <c r="C23" s="143">
        <f>IF((C18+C19+C20)=0,0,IF(AND((C18+C19-C21)&gt;=0,(C20-C22)&gt;=0),(C18+C19+C20-C21-C22),IF(AND((C18+C19-C21)&gt;0,(C20-C22)&lt;0),(C18+C19-C21),IF(AND((C18+C19-C21)&lt;0,(C20-C22)&gt;0),(C20-C22),IF((C18+C19-C21)&gt;0,(C18+C19-C21),IF((C18+C19-C21)&lt;0,0))))))</f>
        <v>0</v>
      </c>
      <c r="D23" s="143">
        <f t="shared" ref="D23:H23" si="3">IF((D18+D19+D20)=0,0,IF(AND((D18+D19-D21)&gt;=0,(D20-D22)&gt;=0),(D18+D19+D20-D21-D22),IF(AND((D18+D19-D21)&gt;0,(D20-D22)&lt;0),(D18+D19-D21),IF(AND((D18+D19-D21)&lt;0,(D20-D22)&gt;0),(D20-D22),IF((D18+D19-D21)&gt;0,(D18+D19-D21),IF((D18+D19-D21)&lt;0,0))))))</f>
        <v>0</v>
      </c>
      <c r="E23" s="143">
        <f t="shared" si="3"/>
        <v>0</v>
      </c>
      <c r="F23" s="143">
        <f t="shared" si="3"/>
        <v>0</v>
      </c>
      <c r="G23" s="143">
        <f t="shared" si="3"/>
        <v>0</v>
      </c>
      <c r="H23" s="143">
        <f t="shared" si="3"/>
        <v>0</v>
      </c>
      <c r="I23" s="84"/>
      <c r="J23" s="84"/>
    </row>
    <row r="24" spans="1:10" x14ac:dyDescent="0.2">
      <c r="A24" s="892" t="s">
        <v>71</v>
      </c>
      <c r="B24" s="893"/>
      <c r="C24" s="297"/>
      <c r="D24" s="297"/>
      <c r="E24" s="297"/>
      <c r="F24" s="297"/>
      <c r="G24" s="297"/>
      <c r="H24" s="297"/>
      <c r="I24" s="239"/>
      <c r="J24" s="239"/>
    </row>
    <row r="25" spans="1:10" x14ac:dyDescent="0.2">
      <c r="A25" s="886" t="s">
        <v>38</v>
      </c>
      <c r="B25" s="887"/>
      <c r="C25" s="298"/>
      <c r="D25" s="298"/>
      <c r="E25" s="298"/>
      <c r="F25" s="298"/>
      <c r="G25" s="298"/>
      <c r="H25" s="298"/>
      <c r="I25" s="239"/>
      <c r="J25" s="239"/>
    </row>
    <row r="26" spans="1:10" x14ac:dyDescent="0.2">
      <c r="A26" s="888" t="s">
        <v>67</v>
      </c>
      <c r="B26" s="889"/>
      <c r="C26" s="323"/>
      <c r="D26" s="297"/>
      <c r="E26" s="297"/>
      <c r="F26" s="297"/>
      <c r="G26" s="297"/>
      <c r="H26" s="297"/>
      <c r="I26" s="239"/>
      <c r="J26" s="239"/>
    </row>
    <row r="27" spans="1:10" x14ac:dyDescent="0.2">
      <c r="A27" s="890" t="s">
        <v>68</v>
      </c>
      <c r="B27" s="891"/>
      <c r="C27" s="329"/>
      <c r="D27" s="318"/>
      <c r="E27" s="318"/>
      <c r="F27" s="318"/>
      <c r="G27" s="318"/>
      <c r="H27" s="318"/>
      <c r="I27" s="239"/>
      <c r="J27" s="239"/>
    </row>
    <row r="28" spans="1:10" x14ac:dyDescent="0.2">
      <c r="A28" s="331"/>
      <c r="B28" s="330"/>
      <c r="C28" s="144">
        <f t="shared" ref="C28:H28" si="4">IF((C24+C25)=0,0,IF(AND((C24-C26)&gt;=0,(C25-C27)&gt;=0),(C24+C25-C26-C27),IF(AND((C24-C26)&gt;0,(C25-C27)&lt;0),(C24-C26),IF(AND((C24-C26)&lt;0,(C25-C27)&gt;0),(C25-C27),IF((C24-C26)&gt;0,(C24-C26),IF((C24-C26)&lt;0,0))))))</f>
        <v>0</v>
      </c>
      <c r="D28" s="144">
        <f t="shared" si="4"/>
        <v>0</v>
      </c>
      <c r="E28" s="144">
        <f t="shared" si="4"/>
        <v>0</v>
      </c>
      <c r="F28" s="144">
        <f t="shared" si="4"/>
        <v>0</v>
      </c>
      <c r="G28" s="144">
        <f t="shared" si="4"/>
        <v>0</v>
      </c>
      <c r="H28" s="144">
        <f t="shared" si="4"/>
        <v>0</v>
      </c>
      <c r="I28" s="239"/>
      <c r="J28" s="239"/>
    </row>
    <row r="29" spans="1:10" s="614" customFormat="1" x14ac:dyDescent="0.2">
      <c r="A29" s="84"/>
      <c r="B29" s="616"/>
      <c r="C29" s="616">
        <f>IF(AND(C18&gt;0,AS!C53&gt;0),C18,0)</f>
        <v>0</v>
      </c>
      <c r="D29" s="616">
        <f>IF(AND(D18&gt;0,AS!D53&gt;0),D18,0)</f>
        <v>0</v>
      </c>
      <c r="E29" s="616">
        <f>IF(AND(E18&gt;0,AS!E53&gt;0),E18,0)</f>
        <v>0</v>
      </c>
      <c r="F29" s="616">
        <f>IF(AND(F18&gt;0,AS!F53&gt;0),F18,0)</f>
        <v>0</v>
      </c>
      <c r="G29" s="616">
        <f>IF(AND(G18&gt;0,AS!G53&gt;0),G18,0)</f>
        <v>0</v>
      </c>
      <c r="H29" s="616">
        <f>IF(AND(H18&gt;0,AS!H53&gt;0),H18,0)</f>
        <v>0</v>
      </c>
      <c r="I29" s="84"/>
      <c r="J29" s="84"/>
    </row>
    <row r="30" spans="1:10" x14ac:dyDescent="0.2">
      <c r="A30" s="239"/>
      <c r="B30" s="1044"/>
      <c r="C30" s="1044"/>
      <c r="D30" s="409"/>
      <c r="E30" s="409"/>
      <c r="F30" s="409"/>
      <c r="G30" s="409"/>
      <c r="H30" s="409"/>
      <c r="I30" s="239"/>
      <c r="J30" s="239"/>
    </row>
    <row r="31" spans="1:10" x14ac:dyDescent="0.2">
      <c r="A31" s="239"/>
      <c r="B31" s="1045"/>
      <c r="C31" s="1045"/>
      <c r="D31" s="334"/>
      <c r="E31" s="334"/>
      <c r="F31" s="334"/>
      <c r="G31" s="334"/>
      <c r="H31" s="334"/>
      <c r="I31" s="239"/>
      <c r="J31" s="239"/>
    </row>
    <row r="32" spans="1:10" x14ac:dyDescent="0.2">
      <c r="A32" s="239"/>
      <c r="B32" s="1045"/>
      <c r="C32" s="1045"/>
      <c r="D32" s="334"/>
      <c r="E32" s="334"/>
      <c r="F32" s="334"/>
      <c r="G32" s="334"/>
      <c r="H32" s="334"/>
      <c r="I32" s="239"/>
      <c r="J32" s="239"/>
    </row>
    <row r="33" spans="1:10" x14ac:dyDescent="0.2">
      <c r="A33" s="239"/>
      <c r="B33" s="332"/>
      <c r="C33" s="332"/>
      <c r="D33" s="334"/>
      <c r="E33" s="334"/>
      <c r="F33" s="334"/>
      <c r="G33" s="334"/>
      <c r="H33" s="334"/>
      <c r="I33" s="239"/>
      <c r="J33" s="239"/>
    </row>
    <row r="34" spans="1:10" x14ac:dyDescent="0.2">
      <c r="A34" s="239"/>
      <c r="B34" s="239"/>
      <c r="C34" s="239"/>
      <c r="D34" s="239"/>
      <c r="E34" s="239"/>
      <c r="F34" s="239"/>
      <c r="G34" s="239"/>
      <c r="H34" s="239"/>
      <c r="I34" s="239"/>
      <c r="J34" s="239"/>
    </row>
    <row r="35" spans="1:10" x14ac:dyDescent="0.2">
      <c r="A35" s="239"/>
      <c r="B35" s="239"/>
      <c r="C35" s="239"/>
      <c r="D35" s="239"/>
      <c r="E35" s="239"/>
      <c r="F35" s="239"/>
      <c r="G35" s="239"/>
      <c r="H35" s="239"/>
      <c r="I35" s="239"/>
      <c r="J35" s="239"/>
    </row>
    <row r="36" spans="1:10" x14ac:dyDescent="0.2">
      <c r="A36" s="239"/>
      <c r="B36" s="239"/>
      <c r="C36" s="239"/>
      <c r="D36" s="239"/>
      <c r="E36" s="239"/>
      <c r="F36" s="239"/>
      <c r="G36" s="239"/>
      <c r="H36" s="239"/>
      <c r="I36" s="239"/>
      <c r="J36" s="239"/>
    </row>
    <row r="37" spans="1:10" ht="15" x14ac:dyDescent="0.25">
      <c r="A37" s="931" t="s">
        <v>29</v>
      </c>
      <c r="B37" s="932"/>
      <c r="C37" s="255" t="e">
        <f>EDATE(BG!D2,-6)</f>
        <v>#NUM!</v>
      </c>
      <c r="D37" s="255" t="e">
        <f>EDATE(BG!D2,-5)</f>
        <v>#NUM!</v>
      </c>
      <c r="E37" s="255" t="e">
        <f>EDATE(BG!D2,-4)</f>
        <v>#NUM!</v>
      </c>
      <c r="F37" s="255" t="e">
        <f>EDATE(BG!D2,-3)</f>
        <v>#NUM!</v>
      </c>
      <c r="G37" s="255" t="e">
        <f>EDATE(BG!D2,-2)</f>
        <v>#NUM!</v>
      </c>
      <c r="H37" s="255" t="e">
        <f>EDATE(BG!D2,-1)</f>
        <v>#NUM!</v>
      </c>
      <c r="I37" s="239"/>
      <c r="J37" s="239"/>
    </row>
    <row r="38" spans="1:10" x14ac:dyDescent="0.2">
      <c r="A38" s="896" t="s">
        <v>73</v>
      </c>
      <c r="B38" s="897"/>
      <c r="C38" s="333"/>
      <c r="D38" s="333"/>
      <c r="E38" s="333"/>
      <c r="F38" s="333"/>
      <c r="G38" s="333"/>
      <c r="H38" s="333"/>
      <c r="I38" s="239"/>
      <c r="J38" s="239"/>
    </row>
    <row r="39" spans="1:10" x14ac:dyDescent="0.2">
      <c r="A39" s="868" t="s">
        <v>74</v>
      </c>
      <c r="B39" s="869"/>
      <c r="C39" s="333"/>
      <c r="D39" s="333"/>
      <c r="E39" s="333"/>
      <c r="F39" s="333"/>
      <c r="G39" s="333"/>
      <c r="H39" s="333"/>
      <c r="I39" s="239"/>
      <c r="J39" s="239"/>
    </row>
    <row r="40" spans="1:10" x14ac:dyDescent="0.2">
      <c r="A40" s="239"/>
      <c r="B40" s="239"/>
      <c r="C40" s="239"/>
      <c r="D40" s="239"/>
      <c r="E40" s="239"/>
      <c r="F40" s="239"/>
      <c r="G40" s="239"/>
      <c r="H40" s="239"/>
      <c r="I40" s="239"/>
      <c r="J40" s="239"/>
    </row>
    <row r="41" spans="1:10" x14ac:dyDescent="0.2">
      <c r="A41" s="1046" t="s">
        <v>252</v>
      </c>
      <c r="B41" s="1047"/>
      <c r="C41" s="363"/>
      <c r="D41" s="363"/>
      <c r="E41" s="363"/>
      <c r="F41" s="363"/>
      <c r="G41" s="363"/>
      <c r="H41" s="363"/>
      <c r="I41" s="239"/>
      <c r="J41" s="239"/>
    </row>
    <row r="42" spans="1:10" x14ac:dyDescent="0.2">
      <c r="A42" s="1042" t="s">
        <v>313</v>
      </c>
      <c r="B42" s="1043"/>
      <c r="C42" s="294"/>
      <c r="D42" s="294"/>
      <c r="E42" s="294"/>
      <c r="F42" s="294"/>
      <c r="G42" s="294"/>
      <c r="H42" s="410"/>
      <c r="I42" s="239"/>
      <c r="J42" s="239"/>
    </row>
    <row r="43" spans="1:10" x14ac:dyDescent="0.2">
      <c r="A43" s="884" t="s">
        <v>314</v>
      </c>
      <c r="B43" s="885"/>
      <c r="C43" s="336"/>
      <c r="D43" s="336"/>
      <c r="E43" s="336"/>
      <c r="F43" s="336"/>
      <c r="G43" s="336"/>
      <c r="H43" s="336"/>
      <c r="I43" s="239"/>
      <c r="J43" s="239"/>
    </row>
    <row r="44" spans="1:10" x14ac:dyDescent="0.2">
      <c r="A44" s="880" t="s">
        <v>495</v>
      </c>
      <c r="B44" s="881"/>
      <c r="C44" s="339"/>
      <c r="D44" s="339"/>
      <c r="E44" s="339"/>
      <c r="F44" s="339"/>
      <c r="G44" s="339"/>
      <c r="H44" s="339"/>
      <c r="I44" s="239"/>
      <c r="J44" s="239"/>
    </row>
    <row r="45" spans="1:10" x14ac:dyDescent="0.2">
      <c r="A45" s="882" t="s">
        <v>316</v>
      </c>
      <c r="B45" s="883"/>
      <c r="C45" s="339"/>
      <c r="D45" s="339"/>
      <c r="E45" s="339"/>
      <c r="F45" s="339"/>
      <c r="G45" s="339"/>
      <c r="H45" s="339"/>
      <c r="I45" s="239"/>
      <c r="J45" s="239"/>
    </row>
    <row r="46" spans="1:10" x14ac:dyDescent="0.2">
      <c r="A46" s="870" t="s">
        <v>317</v>
      </c>
      <c r="B46" s="871"/>
      <c r="C46" s="340" t="e">
        <f t="shared" ref="C46:H46" si="5">IF(AND(C96=0,C41&gt;0,C61&gt;17),30,0)</f>
        <v>#NUM!</v>
      </c>
      <c r="D46" s="340" t="e">
        <f t="shared" si="5"/>
        <v>#NUM!</v>
      </c>
      <c r="E46" s="340" t="e">
        <f t="shared" si="5"/>
        <v>#NUM!</v>
      </c>
      <c r="F46" s="340" t="e">
        <f t="shared" si="5"/>
        <v>#NUM!</v>
      </c>
      <c r="G46" s="340" t="e">
        <f t="shared" si="5"/>
        <v>#NUM!</v>
      </c>
      <c r="H46" s="340" t="e">
        <f t="shared" si="5"/>
        <v>#NUM!</v>
      </c>
      <c r="I46" s="239"/>
      <c r="J46" s="239"/>
    </row>
    <row r="47" spans="1:10" x14ac:dyDescent="0.2">
      <c r="A47" s="872" t="s">
        <v>58</v>
      </c>
      <c r="B47" s="872"/>
      <c r="C47" s="364"/>
      <c r="D47" s="364"/>
      <c r="E47" s="364"/>
      <c r="F47" s="364"/>
      <c r="G47" s="364"/>
      <c r="H47" s="364"/>
      <c r="I47" s="239"/>
      <c r="J47" s="239"/>
    </row>
    <row r="48" spans="1:10" x14ac:dyDescent="0.2">
      <c r="A48" s="873" t="s">
        <v>318</v>
      </c>
      <c r="B48" s="874"/>
      <c r="C48" s="336"/>
      <c r="D48" s="336"/>
      <c r="E48" s="336"/>
      <c r="F48" s="336"/>
      <c r="G48" s="336"/>
      <c r="H48" s="336"/>
      <c r="I48" s="239"/>
      <c r="J48" s="239"/>
    </row>
    <row r="49" spans="1:10" x14ac:dyDescent="0.2">
      <c r="A49" s="810" t="s">
        <v>319</v>
      </c>
      <c r="B49" s="810"/>
      <c r="C49" s="337"/>
      <c r="D49" s="337"/>
      <c r="E49" s="337"/>
      <c r="F49" s="337"/>
      <c r="G49" s="337"/>
      <c r="H49" s="337"/>
      <c r="I49" s="239"/>
      <c r="J49" s="239"/>
    </row>
    <row r="50" spans="1:10" x14ac:dyDescent="0.2">
      <c r="A50" s="810" t="s">
        <v>320</v>
      </c>
      <c r="B50" s="810"/>
      <c r="C50" s="287">
        <f t="shared" ref="C50:H50" si="6">IF(C41=ISBLANK(0),0,IF(C96&gt;0,SUM(C43:C49),IF(C96=0,IF(SUM(C43:C49)&lt;100,100,SUM(C43:C49)))))</f>
        <v>0</v>
      </c>
      <c r="D50" s="287">
        <f t="shared" si="6"/>
        <v>0</v>
      </c>
      <c r="E50" s="287">
        <f t="shared" si="6"/>
        <v>0</v>
      </c>
      <c r="F50" s="287">
        <f t="shared" si="6"/>
        <v>0</v>
      </c>
      <c r="G50" s="287">
        <f t="shared" si="6"/>
        <v>0</v>
      </c>
      <c r="H50" s="287">
        <f t="shared" si="6"/>
        <v>0</v>
      </c>
      <c r="I50" s="239"/>
      <c r="J50" s="239"/>
    </row>
    <row r="51" spans="1:10" x14ac:dyDescent="0.2">
      <c r="A51" s="810" t="s">
        <v>322</v>
      </c>
      <c r="B51" s="810"/>
      <c r="C51" s="287">
        <f t="shared" ref="C51:H51" si="7">IF(C41-C50&lt;0,0,C41-C50)</f>
        <v>0</v>
      </c>
      <c r="D51" s="287">
        <f t="shared" si="7"/>
        <v>0</v>
      </c>
      <c r="E51" s="287">
        <f t="shared" si="7"/>
        <v>0</v>
      </c>
      <c r="F51" s="287">
        <f t="shared" si="7"/>
        <v>0</v>
      </c>
      <c r="G51" s="287">
        <f t="shared" si="7"/>
        <v>0</v>
      </c>
      <c r="H51" s="287">
        <f t="shared" si="7"/>
        <v>0</v>
      </c>
      <c r="I51" s="239"/>
      <c r="J51" s="239"/>
    </row>
    <row r="52" spans="1:10" x14ac:dyDescent="0.2">
      <c r="A52" s="866" t="s">
        <v>321</v>
      </c>
      <c r="B52" s="867"/>
      <c r="C52" s="365"/>
      <c r="D52" s="365"/>
      <c r="E52" s="365"/>
      <c r="F52" s="365"/>
      <c r="G52" s="365"/>
      <c r="H52" s="365"/>
      <c r="I52" s="239"/>
      <c r="J52" s="239"/>
    </row>
    <row r="53" spans="1:10" x14ac:dyDescent="0.2">
      <c r="A53" s="868" t="s">
        <v>68</v>
      </c>
      <c r="B53" s="869"/>
      <c r="C53" s="333"/>
      <c r="D53" s="333"/>
      <c r="E53" s="333"/>
      <c r="F53" s="333"/>
      <c r="G53" s="333"/>
      <c r="H53" s="333"/>
      <c r="I53" s="239"/>
      <c r="J53" s="239"/>
    </row>
    <row r="54" spans="1:10" x14ac:dyDescent="0.2">
      <c r="A54" s="239"/>
      <c r="B54" s="239"/>
      <c r="C54" s="93">
        <f t="shared" ref="C54:H54" si="8">IF((C52-C53)&lt;0,0,(C52-C53))</f>
        <v>0</v>
      </c>
      <c r="D54" s="93">
        <f t="shared" si="8"/>
        <v>0</v>
      </c>
      <c r="E54" s="93">
        <f t="shared" si="8"/>
        <v>0</v>
      </c>
      <c r="F54" s="93">
        <f t="shared" si="8"/>
        <v>0</v>
      </c>
      <c r="G54" s="93">
        <f t="shared" si="8"/>
        <v>0</v>
      </c>
      <c r="H54" s="93">
        <f t="shared" si="8"/>
        <v>0</v>
      </c>
      <c r="I54" s="239"/>
      <c r="J54" s="239"/>
    </row>
    <row r="55" spans="1:10" x14ac:dyDescent="0.2">
      <c r="A55" s="239"/>
      <c r="B55" s="239"/>
      <c r="C55" s="93">
        <f t="shared" ref="C55:H55" si="9">IF(C38-C39&lt;0,0,C38-C39)</f>
        <v>0</v>
      </c>
      <c r="D55" s="93">
        <f t="shared" si="9"/>
        <v>0</v>
      </c>
      <c r="E55" s="93">
        <f t="shared" si="9"/>
        <v>0</v>
      </c>
      <c r="F55" s="93">
        <f t="shared" si="9"/>
        <v>0</v>
      </c>
      <c r="G55" s="93">
        <f t="shared" si="9"/>
        <v>0</v>
      </c>
      <c r="H55" s="93">
        <f t="shared" si="9"/>
        <v>0</v>
      </c>
      <c r="I55" s="239"/>
      <c r="J55" s="239"/>
    </row>
    <row r="56" spans="1:10" ht="15" x14ac:dyDescent="0.25">
      <c r="A56" s="902" t="s">
        <v>75</v>
      </c>
      <c r="B56" s="902"/>
      <c r="C56" s="342" t="s">
        <v>323</v>
      </c>
      <c r="D56" s="309"/>
      <c r="E56" s="309"/>
      <c r="F56" s="309"/>
      <c r="G56" s="309"/>
      <c r="H56" s="309"/>
      <c r="I56" s="239"/>
      <c r="J56" s="239"/>
    </row>
    <row r="57" spans="1:10" x14ac:dyDescent="0.2">
      <c r="A57" s="903" t="s">
        <v>56</v>
      </c>
      <c r="B57" s="903"/>
      <c r="C57" s="308"/>
      <c r="D57" s="308"/>
      <c r="E57" s="308"/>
      <c r="F57" s="308"/>
      <c r="G57" s="308"/>
      <c r="H57" s="308"/>
      <c r="I57" s="239"/>
      <c r="J57" s="239"/>
    </row>
    <row r="58" spans="1:10" x14ac:dyDescent="0.2">
      <c r="A58" s="903" t="s">
        <v>57</v>
      </c>
      <c r="B58" s="903"/>
      <c r="C58" s="308"/>
      <c r="D58" s="308"/>
      <c r="E58" s="308"/>
      <c r="F58" s="308"/>
      <c r="G58" s="308"/>
      <c r="H58" s="308"/>
      <c r="I58" s="239"/>
      <c r="J58" s="239"/>
    </row>
    <row r="59" spans="1:10" x14ac:dyDescent="0.2">
      <c r="A59" s="903" t="s">
        <v>58</v>
      </c>
      <c r="B59" s="903"/>
      <c r="C59" s="308"/>
      <c r="D59" s="308"/>
      <c r="E59" s="308"/>
      <c r="F59" s="308"/>
      <c r="G59" s="308"/>
      <c r="H59" s="308"/>
      <c r="I59" s="239"/>
      <c r="J59" s="239"/>
    </row>
    <row r="60" spans="1:10" x14ac:dyDescent="0.2">
      <c r="A60" s="903" t="s">
        <v>76</v>
      </c>
      <c r="B60" s="903"/>
      <c r="C60" s="343">
        <f>IF(C61&lt;18,0,IF(C46=30,0,IF((C75+C76+H78)&gt;0,0,IF(C96=0,30,IF(C96&gt;0,0)))))</f>
        <v>0</v>
      </c>
      <c r="D60" s="343">
        <f>IF(D61&lt;18,0,IF(D46=30,0,IF((D75+D76+H78)&gt;0,0,IF(D96=0,30,IF(D96&gt;0,0)))))</f>
        <v>0</v>
      </c>
      <c r="E60" s="343">
        <f>IF(E61&lt;18,0,IF(E46=30,0,IF((E75+E76+H78)&gt;0,0,IF(E96=0,30,IF(E96&gt;0,0)))))</f>
        <v>0</v>
      </c>
      <c r="F60" s="343">
        <f>IF(F61&lt;18,0,IF(F46=30,0,IF((F75+F76+H78)&gt;0,0,IF(F96=0,30,IF(F96&gt;0,0)))))</f>
        <v>0</v>
      </c>
      <c r="G60" s="343">
        <f>IF(G61&lt;18,0,IF(G46=30,0,IF((G75+G76+H78)&gt;0,0,IF(G96=0,30,IF(G96&gt;0,0)))))</f>
        <v>0</v>
      </c>
      <c r="H60" s="343">
        <f>IF(H61&lt;18,0,IF(H46=30,0,IF((H75+H76+H78)&gt;0,0,IF(H96=0,30,IF(H96&gt;0,0)))))</f>
        <v>0</v>
      </c>
      <c r="I60" s="239"/>
      <c r="J60" s="239"/>
    </row>
    <row r="61" spans="1:10" x14ac:dyDescent="0.2">
      <c r="A61" s="239"/>
      <c r="B61" s="239"/>
      <c r="C61" s="84">
        <f>IF(BG!$C$35=ISBLANK(0),0,IF(INT((C37-BG!$C$35)/365.25)&lt;0,0,INT((C37-BG!$C$35)/365.25)))</f>
        <v>0</v>
      </c>
      <c r="D61" s="84">
        <f>IF(BG!$C$35=ISBLANK(0),0,IF(INT((D37-BG!$C$35)/365.25)&lt;0,0,INT((D37-BG!$C$35)/365.25)))</f>
        <v>0</v>
      </c>
      <c r="E61" s="84">
        <f>IF(BG!$C$35=ISBLANK(0),0,IF(INT((E37-BG!$C$35)/365.25)&lt;0,0,INT((E37-BG!$C$35)/365.25)))</f>
        <v>0</v>
      </c>
      <c r="F61" s="84">
        <f>IF(BG!$C$35=ISBLANK(0),0,IF(INT((F37-BG!$C$35)/365.25)&lt;0,0,INT((F37-BG!$C$35)/365.25)))</f>
        <v>0</v>
      </c>
      <c r="G61" s="84">
        <f>IF(BG!$C$35=ISBLANK(0),0,IF(INT((G37-BG!$C$35)/365.25)&lt;0,0,INT((G37-BG!$C$35)/365.25)))</f>
        <v>0</v>
      </c>
      <c r="H61" s="84">
        <f>IF(BG!$C$35=ISBLANK(0),0,IF(INT((H37-BG!$C$35)/365.25)&lt;0,0,INT((H37-BG!$C$35)/365.25)))</f>
        <v>0</v>
      </c>
      <c r="I61" s="239"/>
      <c r="J61" s="239"/>
    </row>
    <row r="62" spans="1:10" x14ac:dyDescent="0.2">
      <c r="A62" s="241"/>
      <c r="B62" s="344" t="s">
        <v>77</v>
      </c>
      <c r="C62" s="97">
        <f t="shared" ref="C62:H62" si="10">C7+C12+C17+C23+C28+C51+C54+C55</f>
        <v>0</v>
      </c>
      <c r="D62" s="97">
        <f t="shared" si="10"/>
        <v>0</v>
      </c>
      <c r="E62" s="97">
        <f t="shared" si="10"/>
        <v>0</v>
      </c>
      <c r="F62" s="97">
        <f t="shared" si="10"/>
        <v>0</v>
      </c>
      <c r="G62" s="97">
        <f t="shared" si="10"/>
        <v>0</v>
      </c>
      <c r="H62" s="97">
        <f t="shared" si="10"/>
        <v>0</v>
      </c>
      <c r="I62" s="258" t="s">
        <v>48</v>
      </c>
      <c r="J62" s="239"/>
    </row>
    <row r="63" spans="1:10" x14ac:dyDescent="0.2">
      <c r="A63" s="345"/>
      <c r="B63" s="346" t="s">
        <v>78</v>
      </c>
      <c r="C63" s="106">
        <f t="shared" ref="C63:H63" si="11">SUM(C57:C60)</f>
        <v>0</v>
      </c>
      <c r="D63" s="106">
        <f t="shared" si="11"/>
        <v>0</v>
      </c>
      <c r="E63" s="106">
        <f t="shared" si="11"/>
        <v>0</v>
      </c>
      <c r="F63" s="106">
        <f t="shared" si="11"/>
        <v>0</v>
      </c>
      <c r="G63" s="106">
        <f t="shared" si="11"/>
        <v>0</v>
      </c>
      <c r="H63" s="106">
        <f t="shared" si="11"/>
        <v>0</v>
      </c>
      <c r="I63" s="347"/>
      <c r="J63" s="239"/>
    </row>
    <row r="64" spans="1:10" x14ac:dyDescent="0.2">
      <c r="A64" s="281"/>
      <c r="B64" s="348" t="s">
        <v>79</v>
      </c>
      <c r="C64" s="296">
        <f t="shared" ref="C64:H64" si="12">IF((C62-C63)&lt;0,0,(C62-C63))</f>
        <v>0</v>
      </c>
      <c r="D64" s="296">
        <f t="shared" si="12"/>
        <v>0</v>
      </c>
      <c r="E64" s="296">
        <f t="shared" si="12"/>
        <v>0</v>
      </c>
      <c r="F64" s="296">
        <f t="shared" si="12"/>
        <v>0</v>
      </c>
      <c r="G64" s="296">
        <f t="shared" si="12"/>
        <v>0</v>
      </c>
      <c r="H64" s="296">
        <f t="shared" si="12"/>
        <v>0</v>
      </c>
      <c r="I64" s="287">
        <f>SUM(C64:H64)</f>
        <v>0</v>
      </c>
      <c r="J64" s="239"/>
    </row>
    <row r="65" spans="1:10" x14ac:dyDescent="0.2">
      <c r="A65" s="239"/>
      <c r="B65" s="239"/>
      <c r="C65" s="239"/>
      <c r="D65" s="239"/>
      <c r="E65" s="239"/>
      <c r="F65" s="239"/>
      <c r="G65" s="239"/>
      <c r="H65" s="239"/>
      <c r="I65" s="239"/>
      <c r="J65" s="239"/>
    </row>
    <row r="66" spans="1:10" x14ac:dyDescent="0.2">
      <c r="A66" s="239"/>
      <c r="B66" s="239"/>
      <c r="C66" s="239"/>
      <c r="D66" s="239"/>
      <c r="E66" s="239"/>
      <c r="F66" s="239"/>
      <c r="G66" s="239"/>
      <c r="H66" s="239"/>
      <c r="I66" s="239"/>
      <c r="J66" s="239"/>
    </row>
    <row r="67" spans="1:10" x14ac:dyDescent="0.2">
      <c r="A67" s="239"/>
      <c r="B67" s="239"/>
      <c r="C67" s="239"/>
      <c r="D67" s="239"/>
      <c r="E67" s="239"/>
      <c r="F67" s="239"/>
      <c r="G67" s="239"/>
      <c r="H67" s="239"/>
      <c r="I67" s="239"/>
      <c r="J67" s="239"/>
    </row>
    <row r="68" spans="1:10" x14ac:dyDescent="0.2">
      <c r="A68" s="239"/>
      <c r="B68" s="239"/>
      <c r="C68" s="239"/>
      <c r="D68" s="239"/>
      <c r="E68" s="239"/>
      <c r="F68" s="239"/>
      <c r="G68" s="239"/>
      <c r="H68" s="239"/>
      <c r="I68" s="239"/>
      <c r="J68" s="239"/>
    </row>
    <row r="69" spans="1:10" x14ac:dyDescent="0.2">
      <c r="A69" s="239"/>
      <c r="B69" s="239"/>
      <c r="C69" s="239"/>
      <c r="D69" s="239"/>
      <c r="E69" s="239"/>
      <c r="F69" s="239"/>
      <c r="G69" s="239"/>
      <c r="H69" s="239"/>
      <c r="I69" s="239"/>
      <c r="J69" s="239"/>
    </row>
    <row r="70" spans="1:10" x14ac:dyDescent="0.2">
      <c r="A70" s="239"/>
      <c r="B70" s="239"/>
      <c r="C70" s="239"/>
      <c r="D70" s="239"/>
      <c r="E70" s="239"/>
      <c r="F70" s="239"/>
      <c r="G70" s="239"/>
      <c r="H70" s="239"/>
      <c r="I70" s="239"/>
      <c r="J70" s="239"/>
    </row>
    <row r="71" spans="1:10" x14ac:dyDescent="0.2">
      <c r="A71" s="239"/>
      <c r="B71" s="239"/>
      <c r="C71" s="239"/>
      <c r="D71" s="239"/>
      <c r="E71" s="239"/>
      <c r="F71" s="239"/>
      <c r="G71" s="239"/>
      <c r="H71" s="239"/>
      <c r="I71" s="239"/>
      <c r="J71" s="239"/>
    </row>
    <row r="72" spans="1:10" ht="15" x14ac:dyDescent="0.25">
      <c r="A72" s="249"/>
      <c r="B72" s="239"/>
      <c r="C72" s="914" t="s">
        <v>46</v>
      </c>
      <c r="D72" s="914"/>
      <c r="E72" s="914"/>
      <c r="F72" s="914"/>
      <c r="G72" s="914"/>
      <c r="H72" s="914"/>
      <c r="I72" s="239"/>
      <c r="J72" s="239"/>
    </row>
    <row r="73" spans="1:10" ht="15" x14ac:dyDescent="0.25">
      <c r="A73" s="915" t="s">
        <v>29</v>
      </c>
      <c r="B73" s="915"/>
      <c r="C73" s="255" t="e">
        <f>EDATE(BG!D2,-6)</f>
        <v>#NUM!</v>
      </c>
      <c r="D73" s="255" t="e">
        <f>EDATE(BG!D2,-5)</f>
        <v>#NUM!</v>
      </c>
      <c r="E73" s="255" t="e">
        <f>EDATE(BG!D2,-4)</f>
        <v>#NUM!</v>
      </c>
      <c r="F73" s="255" t="e">
        <f>EDATE(BG!D2,-3)</f>
        <v>#NUM!</v>
      </c>
      <c r="G73" s="255" t="e">
        <f>EDATE(BG!D2,-2)</f>
        <v>#NUM!</v>
      </c>
      <c r="H73" s="255" t="e">
        <f>EDATE(BG!D2,-1)</f>
        <v>#NUM!</v>
      </c>
      <c r="I73" s="245"/>
      <c r="J73" s="239"/>
    </row>
    <row r="74" spans="1:10" x14ac:dyDescent="0.2">
      <c r="A74" s="1050" t="s">
        <v>596</v>
      </c>
      <c r="B74" s="1051"/>
      <c r="C74" s="366" t="s">
        <v>185</v>
      </c>
      <c r="D74" s="366" t="s">
        <v>185</v>
      </c>
      <c r="E74" s="366" t="s">
        <v>185</v>
      </c>
      <c r="F74" s="366" t="s">
        <v>185</v>
      </c>
      <c r="G74" s="366" t="s">
        <v>185</v>
      </c>
      <c r="H74" s="366" t="s">
        <v>185</v>
      </c>
      <c r="I74" s="345"/>
      <c r="J74" s="332" t="str">
        <f>IF(SUM(C77:H77)&gt;0,"bitte hier"," ")</f>
        <v xml:space="preserve"> </v>
      </c>
    </row>
    <row r="75" spans="1:10" x14ac:dyDescent="0.2">
      <c r="A75" s="916" t="s">
        <v>47</v>
      </c>
      <c r="B75" s="916"/>
      <c r="C75" s="264"/>
      <c r="D75" s="264"/>
      <c r="E75" s="264"/>
      <c r="F75" s="264"/>
      <c r="G75" s="264"/>
      <c r="H75" s="264"/>
      <c r="I75" s="311"/>
      <c r="J75" s="367" t="str">
        <f>IF(SUM(C77:H77)&gt;0,"eintragen"," ")</f>
        <v xml:space="preserve"> </v>
      </c>
    </row>
    <row r="76" spans="1:10" x14ac:dyDescent="0.2">
      <c r="A76" s="917" t="s">
        <v>38</v>
      </c>
      <c r="B76" s="917"/>
      <c r="C76" s="266"/>
      <c r="D76" s="266"/>
      <c r="E76" s="266"/>
      <c r="F76" s="266"/>
      <c r="G76" s="266"/>
      <c r="H76" s="266"/>
      <c r="I76" s="368" t="str">
        <f>IF(SUM(C77:H77)&gt;0,"Beginn d."," ")</f>
        <v xml:space="preserve"> </v>
      </c>
      <c r="J76" s="1052"/>
    </row>
    <row r="77" spans="1:10" x14ac:dyDescent="0.2">
      <c r="A77" s="918" t="s">
        <v>242</v>
      </c>
      <c r="B77" s="918"/>
      <c r="C77" s="369"/>
      <c r="D77" s="369"/>
      <c r="E77" s="369"/>
      <c r="F77" s="369"/>
      <c r="G77" s="369"/>
      <c r="H77" s="369"/>
      <c r="I77" s="370" t="str">
        <f>IF(SUM(C77:H77)&gt;0,"Selbständigkeit:"," ")</f>
        <v xml:space="preserve"> </v>
      </c>
      <c r="J77" s="1053"/>
    </row>
    <row r="78" spans="1:10" x14ac:dyDescent="0.2">
      <c r="A78" s="239"/>
      <c r="B78" s="239"/>
      <c r="C78" s="248"/>
      <c r="D78" s="248"/>
      <c r="E78" s="142" t="s">
        <v>48</v>
      </c>
      <c r="F78" s="83">
        <f>SUM(C77:H77)</f>
        <v>0</v>
      </c>
      <c r="G78" s="81" t="s">
        <v>49</v>
      </c>
      <c r="H78" s="83" t="e">
        <f>ROUND((F78/J81),2)</f>
        <v>#NUM!</v>
      </c>
      <c r="I78" s="411" t="str">
        <f>IF(SUM(C77:H77)&gt;0,"Ende d."," ")</f>
        <v xml:space="preserve"> </v>
      </c>
      <c r="J78" s="1048"/>
    </row>
    <row r="79" spans="1:10" x14ac:dyDescent="0.2">
      <c r="A79" s="921" t="s">
        <v>50</v>
      </c>
      <c r="B79" s="922"/>
      <c r="C79" s="297"/>
      <c r="D79" s="297"/>
      <c r="E79" s="297"/>
      <c r="F79" s="297"/>
      <c r="G79" s="297"/>
      <c r="H79" s="297"/>
      <c r="I79" s="370" t="str">
        <f>IF(SUM(C77:H77)&gt;0,"Selbständigkeit:"," ")</f>
        <v xml:space="preserve"> </v>
      </c>
      <c r="J79" s="1049"/>
    </row>
    <row r="80" spans="1:10" x14ac:dyDescent="0.2">
      <c r="A80" s="923" t="s">
        <v>51</v>
      </c>
      <c r="B80" s="924"/>
      <c r="C80" s="298"/>
      <c r="D80" s="298"/>
      <c r="E80" s="298"/>
      <c r="F80" s="298"/>
      <c r="G80" s="298"/>
      <c r="H80" s="298"/>
      <c r="I80" s="1054" t="str">
        <f>IF(SUM(C77:H77)&gt;0,"Format: MM/JJ"," ")</f>
        <v xml:space="preserve"> </v>
      </c>
      <c r="J80" s="1055"/>
    </row>
    <row r="81" spans="1:10" x14ac:dyDescent="0.2">
      <c r="A81" s="925" t="s">
        <v>52</v>
      </c>
      <c r="B81" s="925"/>
      <c r="C81" s="371"/>
      <c r="D81" s="371"/>
      <c r="E81" s="371"/>
      <c r="F81" s="371"/>
      <c r="G81" s="371"/>
      <c r="H81" s="371"/>
      <c r="I81" s="198" t="e">
        <f>IF(J76&lt;MEG!C6,6,DATEDIF(J76,MEG!E6,"m")+1)</f>
        <v>#NUM!</v>
      </c>
      <c r="J81" s="199" t="e">
        <f>IF(J78=ISBLANK(0),I81,IF(J76=ISBLANK(0),I82,DATEDIF(I84,J84,"m")+1))</f>
        <v>#NUM!</v>
      </c>
    </row>
    <row r="82" spans="1:10" x14ac:dyDescent="0.2">
      <c r="A82" s="1056" t="s">
        <v>54</v>
      </c>
      <c r="B82" s="1056"/>
      <c r="C82" s="413"/>
      <c r="D82" s="413"/>
      <c r="E82" s="413"/>
      <c r="F82" s="413"/>
      <c r="G82" s="413"/>
      <c r="H82" s="413"/>
      <c r="I82" s="198" t="e">
        <f>IF(J78&lt;MEG!C6,6,DATEDIF(MEG!C6,J78,"m")+1)</f>
        <v>#NUM!</v>
      </c>
      <c r="J82" s="199"/>
    </row>
    <row r="83" spans="1:10" x14ac:dyDescent="0.2">
      <c r="A83" s="1057"/>
      <c r="B83" s="1057"/>
      <c r="C83" s="414"/>
      <c r="D83" s="414"/>
      <c r="E83" s="126" t="s">
        <v>48</v>
      </c>
      <c r="F83" s="81" t="s">
        <v>49</v>
      </c>
      <c r="G83" s="90" t="s">
        <v>53</v>
      </c>
      <c r="H83" s="91" t="e">
        <f>IF((H78-F84)&lt;0,0,(H78-F84))</f>
        <v>#NUM!</v>
      </c>
      <c r="I83" s="81"/>
      <c r="J83" s="81"/>
    </row>
    <row r="84" spans="1:10" x14ac:dyDescent="0.2">
      <c r="A84" s="239"/>
      <c r="B84" s="292"/>
      <c r="C84" s="373"/>
      <c r="D84" s="373"/>
      <c r="E84" s="83">
        <f>SUM(C81:H82)</f>
        <v>0</v>
      </c>
      <c r="F84" s="83" t="e">
        <f>ROUND((E84/J81),2)</f>
        <v>#NUM!</v>
      </c>
      <c r="G84" s="373"/>
      <c r="H84" s="374"/>
      <c r="I84" s="179" t="e">
        <f>IF(J76&lt;MEG!C6,MEG!C6,J76)</f>
        <v>#NUM!</v>
      </c>
      <c r="J84" s="179" t="e">
        <f>IF(J78&gt;MEG!E6,MEG!E6,J78)</f>
        <v>#NUM!</v>
      </c>
    </row>
    <row r="85" spans="1:10" x14ac:dyDescent="0.2">
      <c r="A85" s="925" t="s">
        <v>54</v>
      </c>
      <c r="B85" s="925"/>
      <c r="C85" s="302">
        <f t="shared" ref="C85:H85" si="13">SUM(C88,(C86*ROUND(C87,0)*0.2))</f>
        <v>0</v>
      </c>
      <c r="D85" s="302">
        <f t="shared" si="13"/>
        <v>0</v>
      </c>
      <c r="E85" s="302">
        <f t="shared" si="13"/>
        <v>0</v>
      </c>
      <c r="F85" s="302">
        <f t="shared" si="13"/>
        <v>0</v>
      </c>
      <c r="G85" s="302">
        <f t="shared" si="13"/>
        <v>0</v>
      </c>
      <c r="H85" s="302">
        <f t="shared" si="13"/>
        <v>0</v>
      </c>
      <c r="I85" s="203" t="e">
        <f>I84</f>
        <v>#NUM!</v>
      </c>
      <c r="J85" s="179" t="e">
        <f>IF(J78=ISBLANK(0),H73+1,J78)</f>
        <v>#NUM!</v>
      </c>
    </row>
    <row r="86" spans="1:10" x14ac:dyDescent="0.2">
      <c r="A86" s="927" t="s">
        <v>234</v>
      </c>
      <c r="B86" s="928"/>
      <c r="C86" s="375"/>
      <c r="D86" s="375"/>
      <c r="E86" s="375"/>
      <c r="F86" s="375"/>
      <c r="G86" s="375"/>
      <c r="H86" s="375"/>
      <c r="I86" s="202" t="e">
        <f>IF(I84&gt;C73,0,IF(J85&lt;C73,0,H83))</f>
        <v>#NUM!</v>
      </c>
      <c r="J86" s="81"/>
    </row>
    <row r="87" spans="1:10" x14ac:dyDescent="0.2">
      <c r="A87" s="927" t="s">
        <v>235</v>
      </c>
      <c r="B87" s="928"/>
      <c r="C87" s="375"/>
      <c r="D87" s="375"/>
      <c r="E87" s="375"/>
      <c r="F87" s="375"/>
      <c r="G87" s="375"/>
      <c r="H87" s="375"/>
      <c r="I87" s="202" t="e">
        <f>IF(I84&gt;D73,0,IF(J85&lt;D73,0,H83))</f>
        <v>#NUM!</v>
      </c>
      <c r="J87" s="81"/>
    </row>
    <row r="88" spans="1:10" x14ac:dyDescent="0.2">
      <c r="A88" s="929" t="s">
        <v>237</v>
      </c>
      <c r="B88" s="930"/>
      <c r="C88" s="372"/>
      <c r="D88" s="372"/>
      <c r="E88" s="372"/>
      <c r="F88" s="372"/>
      <c r="G88" s="372"/>
      <c r="H88" s="372"/>
      <c r="I88" s="202" t="e">
        <f>IF(I84&gt;E73,0,IF(J85&lt;E73,0,H83))</f>
        <v>#NUM!</v>
      </c>
      <c r="J88" s="81"/>
    </row>
    <row r="89" spans="1:10" x14ac:dyDescent="0.2">
      <c r="A89" s="926" t="s">
        <v>55</v>
      </c>
      <c r="B89" s="926"/>
      <c r="C89" s="305">
        <f t="shared" ref="C89:H89" si="14">C90*C91</f>
        <v>0</v>
      </c>
      <c r="D89" s="305">
        <f t="shared" si="14"/>
        <v>0</v>
      </c>
      <c r="E89" s="305">
        <f t="shared" si="14"/>
        <v>0</v>
      </c>
      <c r="F89" s="305">
        <f t="shared" si="14"/>
        <v>0</v>
      </c>
      <c r="G89" s="305">
        <f t="shared" si="14"/>
        <v>0</v>
      </c>
      <c r="H89" s="305">
        <f t="shared" si="14"/>
        <v>0</v>
      </c>
      <c r="I89" s="202" t="e">
        <f>IF(I84&gt;F73,0,IF(J85&lt;F73,0,H83))</f>
        <v>#NUM!</v>
      </c>
      <c r="J89" s="83"/>
    </row>
    <row r="90" spans="1:10" x14ac:dyDescent="0.2">
      <c r="A90" s="898" t="s">
        <v>238</v>
      </c>
      <c r="B90" s="899"/>
      <c r="C90" s="375"/>
      <c r="D90" s="375"/>
      <c r="E90" s="375"/>
      <c r="F90" s="375"/>
      <c r="G90" s="375"/>
      <c r="H90" s="375"/>
      <c r="I90" s="202" t="e">
        <f>IF(I84&gt;G73,0,IF(J85&lt;G73,0,H83))</f>
        <v>#NUM!</v>
      </c>
      <c r="J90" s="81"/>
    </row>
    <row r="91" spans="1:10" x14ac:dyDescent="0.2">
      <c r="A91" s="942" t="s">
        <v>239</v>
      </c>
      <c r="B91" s="943"/>
      <c r="C91" s="376"/>
      <c r="D91" s="376"/>
      <c r="E91" s="376"/>
      <c r="F91" s="376"/>
      <c r="G91" s="376"/>
      <c r="H91" s="376"/>
      <c r="I91" s="202" t="e">
        <f>IF(I84&gt;H73,0,IF(J85&lt;H73,0,H83))</f>
        <v>#NUM!</v>
      </c>
      <c r="J91" s="81"/>
    </row>
    <row r="92" spans="1:10" x14ac:dyDescent="0.2">
      <c r="A92" s="937" t="s">
        <v>236</v>
      </c>
      <c r="B92" s="938"/>
      <c r="C92" s="307"/>
      <c r="D92" s="307"/>
      <c r="E92" s="307"/>
      <c r="F92" s="307"/>
      <c r="G92" s="307"/>
      <c r="H92" s="307"/>
      <c r="I92" s="356"/>
      <c r="J92" s="84"/>
    </row>
    <row r="93" spans="1:10" x14ac:dyDescent="0.2">
      <c r="A93" s="903" t="s">
        <v>56</v>
      </c>
      <c r="B93" s="903"/>
      <c r="C93" s="307"/>
      <c r="D93" s="307"/>
      <c r="E93" s="307"/>
      <c r="F93" s="307"/>
      <c r="G93" s="307"/>
      <c r="H93" s="307"/>
      <c r="I93" s="311"/>
      <c r="J93" s="239"/>
    </row>
    <row r="94" spans="1:10" x14ac:dyDescent="0.2">
      <c r="A94" s="903" t="s">
        <v>57</v>
      </c>
      <c r="B94" s="903"/>
      <c r="C94" s="307"/>
      <c r="D94" s="307"/>
      <c r="E94" s="307"/>
      <c r="F94" s="307"/>
      <c r="G94" s="307"/>
      <c r="H94" s="307"/>
      <c r="I94" s="311"/>
      <c r="J94" s="239"/>
    </row>
    <row r="95" spans="1:10" x14ac:dyDescent="0.2">
      <c r="A95" s="903" t="s">
        <v>58</v>
      </c>
      <c r="B95" s="903"/>
      <c r="C95" s="308"/>
      <c r="D95" s="308"/>
      <c r="E95" s="308"/>
      <c r="F95" s="308"/>
      <c r="G95" s="308"/>
      <c r="H95" s="308"/>
      <c r="I95" s="311"/>
      <c r="J95" s="239"/>
    </row>
    <row r="96" spans="1:10" x14ac:dyDescent="0.2">
      <c r="A96" s="239"/>
      <c r="B96" s="239"/>
      <c r="C96" s="93" t="e">
        <f>C75+I86</f>
        <v>#NUM!</v>
      </c>
      <c r="D96" s="93" t="e">
        <f>D75+I87</f>
        <v>#NUM!</v>
      </c>
      <c r="E96" s="93" t="e">
        <f>E75+I88</f>
        <v>#NUM!</v>
      </c>
      <c r="F96" s="93" t="e">
        <f>F75+I89</f>
        <v>#NUM!</v>
      </c>
      <c r="G96" s="93" t="e">
        <f>G75+I90</f>
        <v>#NUM!</v>
      </c>
      <c r="H96" s="93" t="e">
        <f>H75+I91</f>
        <v>#NUM!</v>
      </c>
      <c r="I96" s="239"/>
      <c r="J96" s="239"/>
    </row>
    <row r="97" spans="1:10" x14ac:dyDescent="0.2">
      <c r="A97" s="903" t="s">
        <v>59</v>
      </c>
      <c r="B97" s="903"/>
      <c r="C97" s="287" t="e">
        <f>IF(C74="ja",Grundfreibeträge!G102,Grundfreibeträge!F102)</f>
        <v>#NUM!</v>
      </c>
      <c r="D97" s="287" t="e">
        <f>IF(D74="ja",Grundfreibeträge!G103,Grundfreibeträge!F103)</f>
        <v>#NUM!</v>
      </c>
      <c r="E97" s="287" t="e">
        <f>IF(E74="ja",Grundfreibeträge!G104,Grundfreibeträge!F104)</f>
        <v>#NUM!</v>
      </c>
      <c r="F97" s="287" t="e">
        <f>IF(F74="ja",Grundfreibeträge!G105,Grundfreibeträge!F105)</f>
        <v>#NUM!</v>
      </c>
      <c r="G97" s="287" t="e">
        <f>IF(G74="ja",Grundfreibeträge!G106,Grundfreibeträge!F106)</f>
        <v>#NUM!</v>
      </c>
      <c r="H97" s="287" t="e">
        <f>IF(H74="ja",Grundfreibeträge!G107,Grundfreibeträge!F107)</f>
        <v>#NUM!</v>
      </c>
      <c r="I97" s="239"/>
      <c r="J97" s="239"/>
    </row>
    <row r="98" spans="1:10" x14ac:dyDescent="0.2">
      <c r="A98" s="937" t="s">
        <v>597</v>
      </c>
      <c r="B98" s="938"/>
      <c r="C98" s="287" t="e">
        <f>MAX((MIN(C96,520)-C97)*0.2,0)</f>
        <v>#NUM!</v>
      </c>
      <c r="D98" s="287" t="e">
        <f t="shared" ref="D98:H98" si="15">MAX((MIN(D96,520)-D97)*0.2,0)</f>
        <v>#NUM!</v>
      </c>
      <c r="E98" s="287" t="e">
        <f t="shared" si="15"/>
        <v>#NUM!</v>
      </c>
      <c r="F98" s="287" t="e">
        <f t="shared" si="15"/>
        <v>#NUM!</v>
      </c>
      <c r="G98" s="287" t="e">
        <f t="shared" si="15"/>
        <v>#NUM!</v>
      </c>
      <c r="H98" s="287" t="e">
        <f t="shared" si="15"/>
        <v>#NUM!</v>
      </c>
      <c r="I98" s="778"/>
      <c r="J98" s="778"/>
    </row>
    <row r="99" spans="1:10" x14ac:dyDescent="0.2">
      <c r="A99" s="903" t="s">
        <v>60</v>
      </c>
      <c r="B99" s="903"/>
      <c r="C99" s="287" t="e">
        <f>MAX(MIN(C96-520,480)*0.3,0)</f>
        <v>#NUM!</v>
      </c>
      <c r="D99" s="287" t="e">
        <f t="shared" ref="D99:H99" si="16">MAX(MIN(D96-520,480)*0.3,0)</f>
        <v>#NUM!</v>
      </c>
      <c r="E99" s="287" t="e">
        <f t="shared" si="16"/>
        <v>#NUM!</v>
      </c>
      <c r="F99" s="287" t="e">
        <f t="shared" si="16"/>
        <v>#NUM!</v>
      </c>
      <c r="G99" s="287" t="e">
        <f t="shared" si="16"/>
        <v>#NUM!</v>
      </c>
      <c r="H99" s="287" t="e">
        <f t="shared" si="16"/>
        <v>#NUM!</v>
      </c>
      <c r="I99" s="239"/>
      <c r="J99" s="239"/>
    </row>
    <row r="100" spans="1:10" x14ac:dyDescent="0.2">
      <c r="A100" s="903" t="s">
        <v>61</v>
      </c>
      <c r="B100" s="903"/>
      <c r="C100" s="287" t="e">
        <f>IF(Grundfreibeträge!Q6="Kind ü18",Grundfreibeträge!H102,IF(C96&lt;1000,0,IF(C96&gt;=1500,50,ROUND((C96-1000)*10%,2))))</f>
        <v>#NUM!</v>
      </c>
      <c r="D100" s="287" t="e">
        <f>IF(Grundfreibeträge!Q6="Kind ü18",Grundfreibeträge!H103,IF(D96&lt;1000,0,IF(D96&gt;=1500,50,ROUND((D96-1000)*10%,2))))</f>
        <v>#NUM!</v>
      </c>
      <c r="E100" s="287" t="e">
        <f>IF(Grundfreibeträge!Q6="Kind ü18",Grundfreibeträge!H104,IF(E96&lt;1000,0,IF(E96&gt;=1500,50,ROUND((E96-1000)*10%,2))))</f>
        <v>#NUM!</v>
      </c>
      <c r="F100" s="287" t="e">
        <f>IF(Grundfreibeträge!Q6="Kind ü18",Grundfreibeträge!H105,IF(F96&lt;1000,0,IF(F96&gt;=1500,50,ROUND((F96-1000)*10%,2))))</f>
        <v>#NUM!</v>
      </c>
      <c r="G100" s="287" t="e">
        <f>IF(Grundfreibeträge!Q6="Kind ü18",Grundfreibeträge!H106,IF(G96&lt;1000,0,IF(G96&gt;=1500,50,ROUND((G96-1000)*10%,2))))</f>
        <v>#NUM!</v>
      </c>
      <c r="H100" s="287" t="e">
        <f>IF(Grundfreibeträge!Q6="Kind ü18",Grundfreibeträge!H107,IF(H96&lt;1000,0,IF(H96&gt;=1500,50,ROUND((H96-1000)*10%,2))))</f>
        <v>#NUM!</v>
      </c>
      <c r="I100" s="288" t="s">
        <v>48</v>
      </c>
      <c r="J100" s="239"/>
    </row>
    <row r="101" spans="1:10" x14ac:dyDescent="0.2">
      <c r="A101" s="903" t="s">
        <v>62</v>
      </c>
      <c r="B101" s="903"/>
      <c r="C101" s="287" t="e">
        <f>IF(C96=0,0,MAX(C96-C79-C97-C98-C99-C100,0))</f>
        <v>#NUM!</v>
      </c>
      <c r="D101" s="287" t="e">
        <f t="shared" ref="D101:H101" si="17">IF(D96=0,0,MAX(D96-D79-D97-D98-D99-D100,0))</f>
        <v>#NUM!</v>
      </c>
      <c r="E101" s="287" t="e">
        <f t="shared" si="17"/>
        <v>#NUM!</v>
      </c>
      <c r="F101" s="287" t="e">
        <f t="shared" si="17"/>
        <v>#NUM!</v>
      </c>
      <c r="G101" s="287" t="e">
        <f t="shared" si="17"/>
        <v>#NUM!</v>
      </c>
      <c r="H101" s="287" t="e">
        <f t="shared" si="17"/>
        <v>#NUM!</v>
      </c>
      <c r="I101" s="287" t="e">
        <f>SUM(C101:H101)</f>
        <v>#NUM!</v>
      </c>
      <c r="J101" s="239"/>
    </row>
    <row r="102" spans="1:10" x14ac:dyDescent="0.2">
      <c r="A102" s="239"/>
      <c r="B102" s="312"/>
      <c r="C102" s="83" t="e">
        <f>C75+C76+I86</f>
        <v>#NUM!</v>
      </c>
      <c r="D102" s="83" t="e">
        <f>D75+D76+I87</f>
        <v>#NUM!</v>
      </c>
      <c r="E102" s="83" t="e">
        <f>E75+E76+I88</f>
        <v>#NUM!</v>
      </c>
      <c r="F102" s="83" t="e">
        <f>F75+F76+I89</f>
        <v>#NUM!</v>
      </c>
      <c r="G102" s="83" t="e">
        <f>G75+G76+I90</f>
        <v>#NUM!</v>
      </c>
      <c r="H102" s="83" t="e">
        <f>H75+H76+I91</f>
        <v>#NUM!</v>
      </c>
      <c r="I102" s="294"/>
      <c r="J102" s="239"/>
    </row>
    <row r="103" spans="1:10" ht="15" x14ac:dyDescent="0.25">
      <c r="A103" s="239"/>
      <c r="B103" s="239"/>
      <c r="C103" s="83" t="e">
        <f t="shared" ref="C103:H103" si="18">IF(C102=0,0,IF(C102&lt;=100,0,IF(C102&lt;=1000,(C102-100)*20%,IF(C102&gt;1000,180))))</f>
        <v>#NUM!</v>
      </c>
      <c r="D103" s="83" t="e">
        <f t="shared" si="18"/>
        <v>#NUM!</v>
      </c>
      <c r="E103" s="83" t="e">
        <f t="shared" si="18"/>
        <v>#NUM!</v>
      </c>
      <c r="F103" s="83" t="e">
        <f t="shared" si="18"/>
        <v>#NUM!</v>
      </c>
      <c r="G103" s="83" t="e">
        <f t="shared" si="18"/>
        <v>#NUM!</v>
      </c>
      <c r="H103" s="83" t="e">
        <f t="shared" si="18"/>
        <v>#NUM!</v>
      </c>
      <c r="I103" s="313"/>
      <c r="J103" s="239"/>
    </row>
    <row r="104" spans="1:10" ht="15" x14ac:dyDescent="0.25">
      <c r="A104" s="909" t="s">
        <v>63</v>
      </c>
      <c r="B104" s="909"/>
      <c r="C104" s="97" t="e">
        <f t="shared" ref="C104:H104" si="19">IF(C102&lt;1000,0,IF(C102&gt;=1500,50,ROUND((C102-1000)*10%,2)))</f>
        <v>#NUM!</v>
      </c>
      <c r="D104" s="97" t="e">
        <f t="shared" si="19"/>
        <v>#NUM!</v>
      </c>
      <c r="E104" s="97" t="e">
        <f t="shared" si="19"/>
        <v>#NUM!</v>
      </c>
      <c r="F104" s="97" t="e">
        <f t="shared" si="19"/>
        <v>#NUM!</v>
      </c>
      <c r="G104" s="97" t="e">
        <f t="shared" si="19"/>
        <v>#NUM!</v>
      </c>
      <c r="H104" s="97" t="e">
        <f t="shared" si="19"/>
        <v>#NUM!</v>
      </c>
      <c r="I104" s="313"/>
      <c r="J104" s="239"/>
    </row>
    <row r="105" spans="1:10" x14ac:dyDescent="0.2">
      <c r="A105" s="908" t="s">
        <v>64</v>
      </c>
      <c r="B105" s="908"/>
      <c r="C105" s="296">
        <f t="shared" ref="C105:H105" si="20">IF(C76=0,0,(C103+C104)-(C99+C100))</f>
        <v>0</v>
      </c>
      <c r="D105" s="296">
        <f t="shared" si="20"/>
        <v>0</v>
      </c>
      <c r="E105" s="296">
        <f t="shared" si="20"/>
        <v>0</v>
      </c>
      <c r="F105" s="296">
        <f t="shared" si="20"/>
        <v>0</v>
      </c>
      <c r="G105" s="296">
        <f t="shared" si="20"/>
        <v>0</v>
      </c>
      <c r="H105" s="296">
        <f t="shared" si="20"/>
        <v>0</v>
      </c>
      <c r="I105" s="314" t="s">
        <v>48</v>
      </c>
      <c r="J105" s="239"/>
    </row>
    <row r="106" spans="1:10" x14ac:dyDescent="0.2">
      <c r="A106" s="810" t="s">
        <v>65</v>
      </c>
      <c r="B106" s="810"/>
      <c r="C106" s="287">
        <f t="shared" ref="C106:H106" si="21">IF(C76=0,0,IF(AND(C76&gt;0,C96&gt;0),C76-C80-C105,IF(C76-C80-C105-C97&lt;0,0,C76-C80-C105-C97)))</f>
        <v>0</v>
      </c>
      <c r="D106" s="287">
        <f t="shared" si="21"/>
        <v>0</v>
      </c>
      <c r="E106" s="287">
        <f t="shared" si="21"/>
        <v>0</v>
      </c>
      <c r="F106" s="287">
        <f t="shared" si="21"/>
        <v>0</v>
      </c>
      <c r="G106" s="287">
        <f t="shared" si="21"/>
        <v>0</v>
      </c>
      <c r="H106" s="287">
        <f t="shared" si="21"/>
        <v>0</v>
      </c>
      <c r="I106" s="287">
        <f>SUM(C106:H106)</f>
        <v>0</v>
      </c>
      <c r="J106" s="239"/>
    </row>
    <row r="107" spans="1:10" x14ac:dyDescent="0.2">
      <c r="A107" s="239"/>
      <c r="B107" s="239"/>
      <c r="C107" s="239"/>
      <c r="D107" s="239"/>
      <c r="E107" s="239"/>
      <c r="F107" s="239"/>
      <c r="G107" s="239"/>
      <c r="H107" s="239"/>
      <c r="I107" s="239"/>
      <c r="J107" s="239"/>
    </row>
    <row r="108" spans="1:10" x14ac:dyDescent="0.2">
      <c r="A108" s="239"/>
      <c r="B108" s="239"/>
      <c r="C108" s="239"/>
      <c r="D108" s="239"/>
      <c r="E108" s="239"/>
      <c r="F108" s="239"/>
      <c r="G108" s="239"/>
      <c r="H108" s="239"/>
      <c r="I108" s="239"/>
      <c r="J108" s="239"/>
    </row>
    <row r="109" spans="1:10" x14ac:dyDescent="0.2">
      <c r="A109" s="239"/>
      <c r="B109" s="239"/>
      <c r="C109" s="239"/>
      <c r="D109" s="239"/>
      <c r="E109" s="239"/>
      <c r="F109" s="239"/>
      <c r="G109" s="239"/>
      <c r="H109" s="239"/>
      <c r="I109" s="239"/>
      <c r="J109" s="239"/>
    </row>
    <row r="110" spans="1:10" ht="15" x14ac:dyDescent="0.25">
      <c r="A110" s="239"/>
      <c r="B110" s="944" t="s">
        <v>80</v>
      </c>
      <c r="C110" s="945"/>
      <c r="D110" s="946"/>
      <c r="E110" s="350" t="s">
        <v>48</v>
      </c>
      <c r="F110" s="377" t="s">
        <v>49</v>
      </c>
      <c r="G110" s="239"/>
      <c r="H110" s="239"/>
      <c r="I110" s="239"/>
      <c r="J110" s="239"/>
    </row>
    <row r="111" spans="1:10" x14ac:dyDescent="0.2">
      <c r="A111" s="239"/>
      <c r="B111" s="947" t="s">
        <v>81</v>
      </c>
      <c r="C111" s="948"/>
      <c r="D111" s="949"/>
      <c r="E111" s="352" t="e">
        <f>I101+I106</f>
        <v>#NUM!</v>
      </c>
      <c r="F111" s="352" t="e">
        <f>E111/6</f>
        <v>#NUM!</v>
      </c>
      <c r="G111" s="239"/>
      <c r="H111" s="239"/>
      <c r="I111" s="239"/>
      <c r="J111" s="239"/>
    </row>
    <row r="112" spans="1:10" x14ac:dyDescent="0.2">
      <c r="A112" s="239"/>
      <c r="B112" s="947" t="s">
        <v>82</v>
      </c>
      <c r="C112" s="948"/>
      <c r="D112" s="949"/>
      <c r="E112" s="352">
        <f>I64</f>
        <v>0</v>
      </c>
      <c r="F112" s="352">
        <f>E112/6</f>
        <v>0</v>
      </c>
      <c r="G112" s="239"/>
      <c r="H112" s="239"/>
      <c r="I112" s="239"/>
      <c r="J112" s="239"/>
    </row>
    <row r="113" spans="1:10" ht="15" x14ac:dyDescent="0.25">
      <c r="A113" s="239"/>
      <c r="B113" s="239"/>
      <c r="C113" s="239"/>
      <c r="D113" s="239"/>
      <c r="E113" s="378" t="s">
        <v>84</v>
      </c>
      <c r="F113" s="353" t="e">
        <f>F111+F112</f>
        <v>#NUM!</v>
      </c>
      <c r="G113" s="239"/>
      <c r="H113" s="239"/>
      <c r="I113" s="239"/>
      <c r="J113" s="239"/>
    </row>
    <row r="114" spans="1:10" x14ac:dyDescent="0.2">
      <c r="A114" s="239"/>
      <c r="B114" s="239"/>
      <c r="C114" s="239"/>
      <c r="D114" s="239"/>
      <c r="E114" s="239"/>
      <c r="F114" s="239"/>
      <c r="G114" s="239"/>
      <c r="H114" s="239"/>
      <c r="I114" s="239"/>
      <c r="J114" s="239"/>
    </row>
    <row r="115" spans="1:10" x14ac:dyDescent="0.2">
      <c r="A115" s="239"/>
      <c r="B115" s="239"/>
      <c r="C115" s="239"/>
      <c r="D115" s="239"/>
      <c r="E115" s="239"/>
      <c r="F115" s="239"/>
      <c r="G115" s="239"/>
      <c r="H115" s="239"/>
      <c r="I115" s="239"/>
      <c r="J115" s="239"/>
    </row>
    <row r="116" spans="1:10" x14ac:dyDescent="0.2">
      <c r="A116" s="239"/>
      <c r="B116" s="239"/>
      <c r="C116" s="239"/>
      <c r="D116" s="239"/>
      <c r="E116" s="239"/>
      <c r="F116" s="239"/>
      <c r="G116" s="239"/>
      <c r="H116" s="239"/>
      <c r="I116" s="239"/>
      <c r="J116" s="239"/>
    </row>
    <row r="117" spans="1:10" x14ac:dyDescent="0.2">
      <c r="A117" s="239"/>
      <c r="B117" s="239"/>
      <c r="C117" s="239"/>
      <c r="D117" s="239"/>
      <c r="E117" s="239"/>
      <c r="F117" s="239"/>
      <c r="G117" s="239"/>
      <c r="H117" s="239"/>
      <c r="I117" s="239"/>
      <c r="J117" s="239"/>
    </row>
    <row r="118" spans="1:10" x14ac:dyDescent="0.2">
      <c r="A118" s="239"/>
      <c r="B118" s="239"/>
      <c r="C118" s="239"/>
      <c r="D118" s="239"/>
      <c r="E118" s="239"/>
      <c r="F118" s="239"/>
      <c r="G118" s="239"/>
      <c r="H118" s="239"/>
      <c r="I118" s="239"/>
      <c r="J118" s="239"/>
    </row>
    <row r="119" spans="1:10" x14ac:dyDescent="0.2">
      <c r="A119" s="239"/>
      <c r="B119" s="239"/>
      <c r="C119" s="239"/>
      <c r="D119" s="239"/>
      <c r="E119" s="239"/>
      <c r="F119" s="1058" t="s">
        <v>85</v>
      </c>
      <c r="G119" s="1058"/>
      <c r="H119" s="379"/>
      <c r="I119" s="239"/>
      <c r="J119" s="239"/>
    </row>
    <row r="120" spans="1:10" x14ac:dyDescent="0.2">
      <c r="A120" s="239"/>
      <c r="B120" s="239"/>
      <c r="C120" s="239"/>
      <c r="D120" s="239"/>
      <c r="E120" s="239"/>
      <c r="F120" s="1059" t="s">
        <v>86</v>
      </c>
      <c r="G120" s="1059"/>
      <c r="H120" s="380"/>
      <c r="I120" s="239"/>
      <c r="J120" s="239"/>
    </row>
    <row r="121" spans="1:10" ht="15" x14ac:dyDescent="0.25">
      <c r="A121" s="239"/>
      <c r="B121" s="239"/>
      <c r="C121" s="239"/>
      <c r="D121" s="239"/>
      <c r="E121" s="239"/>
      <c r="F121" s="1060" t="s">
        <v>87</v>
      </c>
      <c r="G121" s="1060"/>
      <c r="H121" s="381" t="e">
        <f>IF(Kurzantrag!C26&gt;0,Kurzantrag!C26,ROUND(F113*45%,2))</f>
        <v>#NUM!</v>
      </c>
      <c r="I121" s="239"/>
      <c r="J121" s="239"/>
    </row>
    <row r="122" spans="1:10" x14ac:dyDescent="0.2">
      <c r="A122" s="239"/>
      <c r="B122" s="239"/>
      <c r="C122" s="239"/>
      <c r="D122" s="239"/>
      <c r="E122" s="239"/>
      <c r="F122" s="239"/>
      <c r="G122" s="239"/>
      <c r="H122" s="239"/>
      <c r="I122" s="239"/>
      <c r="J122" s="239"/>
    </row>
    <row r="123" spans="1:10" x14ac:dyDescent="0.2">
      <c r="A123" s="322"/>
      <c r="B123" s="322"/>
      <c r="C123" s="322"/>
      <c r="D123" s="322"/>
      <c r="E123" s="322"/>
      <c r="F123" s="322"/>
      <c r="G123" s="322"/>
      <c r="H123" s="322"/>
      <c r="I123" s="322"/>
      <c r="J123" s="322"/>
    </row>
    <row r="124" spans="1:10" x14ac:dyDescent="0.2">
      <c r="A124" s="239"/>
      <c r="B124" s="239"/>
      <c r="C124" s="239"/>
      <c r="D124" s="239"/>
      <c r="E124" s="239"/>
      <c r="F124" s="239"/>
      <c r="G124" s="239"/>
      <c r="H124" s="239"/>
      <c r="I124" s="239"/>
      <c r="J124" s="239"/>
    </row>
    <row r="125" spans="1:10" x14ac:dyDescent="0.2">
      <c r="A125" s="127"/>
      <c r="B125" s="127"/>
      <c r="C125" s="127"/>
      <c r="D125" s="127"/>
      <c r="E125" s="127"/>
      <c r="F125" s="127"/>
      <c r="G125" s="127"/>
      <c r="H125" s="127"/>
      <c r="I125" s="127"/>
      <c r="J125" s="127"/>
    </row>
    <row r="126" spans="1:10" x14ac:dyDescent="0.2">
      <c r="A126" s="127"/>
      <c r="B126" s="127"/>
      <c r="C126" s="127"/>
      <c r="D126" s="127"/>
      <c r="E126" s="127"/>
      <c r="F126" s="127"/>
      <c r="G126" s="127"/>
      <c r="H126" s="127"/>
      <c r="I126" s="127"/>
      <c r="J126" s="127"/>
    </row>
    <row r="127" spans="1:10" x14ac:dyDescent="0.2">
      <c r="A127" s="2"/>
      <c r="B127" s="2"/>
      <c r="C127" s="2"/>
      <c r="D127" s="2"/>
      <c r="E127" s="2"/>
      <c r="F127" s="2"/>
      <c r="G127" s="2"/>
      <c r="H127" s="2"/>
      <c r="I127" s="2"/>
      <c r="J127" s="2"/>
    </row>
    <row r="128" spans="1:10" x14ac:dyDescent="0.2">
      <c r="A128" s="2"/>
      <c r="B128" s="2"/>
      <c r="C128" s="2"/>
      <c r="D128" s="2"/>
      <c r="E128" s="2"/>
      <c r="F128" s="2"/>
      <c r="G128" s="2"/>
      <c r="H128" s="2"/>
      <c r="I128" s="2"/>
      <c r="J128" s="2"/>
    </row>
    <row r="129" spans="1:10" x14ac:dyDescent="0.2">
      <c r="A129" s="2"/>
      <c r="B129" s="2"/>
      <c r="C129" s="2"/>
      <c r="D129" s="2"/>
      <c r="E129" s="2"/>
      <c r="F129" s="2"/>
      <c r="G129" s="2"/>
      <c r="H129" s="2"/>
      <c r="I129" s="2"/>
      <c r="J129" s="2"/>
    </row>
    <row r="130" spans="1:10" x14ac:dyDescent="0.2">
      <c r="A130" s="2"/>
      <c r="B130" s="2"/>
      <c r="C130" s="2"/>
      <c r="D130" s="2"/>
      <c r="E130" s="2"/>
      <c r="F130" s="2"/>
      <c r="G130" s="2"/>
      <c r="H130" s="2"/>
      <c r="I130" s="2"/>
      <c r="J130" s="2"/>
    </row>
    <row r="131" spans="1:10" x14ac:dyDescent="0.2">
      <c r="A131" s="2"/>
      <c r="B131" s="2"/>
      <c r="C131" s="2"/>
      <c r="D131" s="2"/>
      <c r="E131" s="2"/>
      <c r="F131" s="2"/>
      <c r="G131" s="2"/>
      <c r="H131" s="2"/>
      <c r="I131" s="2"/>
      <c r="J131" s="2"/>
    </row>
    <row r="132" spans="1:10" x14ac:dyDescent="0.2">
      <c r="A132" s="2"/>
      <c r="B132" s="2"/>
      <c r="C132" s="2"/>
      <c r="D132" s="2"/>
      <c r="E132" s="2"/>
      <c r="F132" s="2"/>
      <c r="G132" s="2"/>
      <c r="H132" s="2"/>
      <c r="I132" s="2"/>
      <c r="J132" s="2"/>
    </row>
    <row r="133" spans="1:10" x14ac:dyDescent="0.2">
      <c r="A133" s="2"/>
      <c r="B133" s="2"/>
      <c r="C133" s="2"/>
      <c r="D133" s="2"/>
      <c r="E133" s="2"/>
      <c r="F133" s="2"/>
      <c r="G133" s="2"/>
      <c r="H133" s="2"/>
      <c r="I133" s="2"/>
      <c r="J133" s="2"/>
    </row>
    <row r="134" spans="1:10" x14ac:dyDescent="0.2">
      <c r="A134" s="2"/>
      <c r="B134" s="2"/>
      <c r="C134" s="2"/>
      <c r="D134" s="2"/>
      <c r="E134" s="2"/>
      <c r="F134" s="2"/>
      <c r="G134" s="2"/>
      <c r="H134" s="2"/>
      <c r="I134" s="2"/>
      <c r="J134" s="2"/>
    </row>
  </sheetData>
  <sheetProtection algorithmName="SHA-512" hashValue="QWcJ5X1+rcvvd6UglF1/yYrjM62W4+KGjn7hEX/cpy7nxsY1tKf6SK4QrocJ1bc+5AqFYBxGAZANcNbzwBsqTg==" saltValue="LGq/nNmnnqPPe52qq56cOw==" spinCount="100000" sheet="1" formatCells="0" formatColumns="0" formatRows="0" insertColumns="0" insertRows="0" insertHyperlinks="0" deleteColumns="0" deleteRows="0" sort="0" autoFilter="0" pivotTables="0"/>
  <mergeCells count="84">
    <mergeCell ref="J76:J77"/>
    <mergeCell ref="J78:J79"/>
    <mergeCell ref="I80:J80"/>
    <mergeCell ref="F119:G119"/>
    <mergeCell ref="F120:G120"/>
    <mergeCell ref="F121:G121"/>
    <mergeCell ref="A104:B104"/>
    <mergeCell ref="A105:B105"/>
    <mergeCell ref="A106:B106"/>
    <mergeCell ref="B110:D110"/>
    <mergeCell ref="B111:D111"/>
    <mergeCell ref="B112:D112"/>
    <mergeCell ref="A101:B101"/>
    <mergeCell ref="A88:B88"/>
    <mergeCell ref="A89:B89"/>
    <mergeCell ref="A90:B90"/>
    <mergeCell ref="A91:B91"/>
    <mergeCell ref="A92:B92"/>
    <mergeCell ref="A93:B93"/>
    <mergeCell ref="A94:B94"/>
    <mergeCell ref="A95:B95"/>
    <mergeCell ref="A97:B97"/>
    <mergeCell ref="A99:B99"/>
    <mergeCell ref="A100:B100"/>
    <mergeCell ref="A98:B98"/>
    <mergeCell ref="C72:H72"/>
    <mergeCell ref="A87:B87"/>
    <mergeCell ref="A74:B74"/>
    <mergeCell ref="A75:B75"/>
    <mergeCell ref="A76:B76"/>
    <mergeCell ref="A77:B77"/>
    <mergeCell ref="A79:B79"/>
    <mergeCell ref="A80:B80"/>
    <mergeCell ref="A81:B81"/>
    <mergeCell ref="A82:B82"/>
    <mergeCell ref="A83:B83"/>
    <mergeCell ref="A85:B85"/>
    <mergeCell ref="A86:B86"/>
    <mergeCell ref="A73:B73"/>
    <mergeCell ref="A49:B49"/>
    <mergeCell ref="A50:B50"/>
    <mergeCell ref="A51:B51"/>
    <mergeCell ref="A52:B52"/>
    <mergeCell ref="A53:B53"/>
    <mergeCell ref="A56:B56"/>
    <mergeCell ref="A57:B57"/>
    <mergeCell ref="A58:B58"/>
    <mergeCell ref="A59:B59"/>
    <mergeCell ref="A60:B60"/>
    <mergeCell ref="A48:B48"/>
    <mergeCell ref="B32:C32"/>
    <mergeCell ref="A37:B37"/>
    <mergeCell ref="A38:B38"/>
    <mergeCell ref="A39:B39"/>
    <mergeCell ref="A41:B41"/>
    <mergeCell ref="A42:B42"/>
    <mergeCell ref="A43:B43"/>
    <mergeCell ref="A44:B44"/>
    <mergeCell ref="A45:B45"/>
    <mergeCell ref="A46:B46"/>
    <mergeCell ref="A47:B47"/>
    <mergeCell ref="B31:C31"/>
    <mergeCell ref="A16:B16"/>
    <mergeCell ref="A18:B18"/>
    <mergeCell ref="A20:B20"/>
    <mergeCell ref="A21:B21"/>
    <mergeCell ref="A22:B22"/>
    <mergeCell ref="A24:B24"/>
    <mergeCell ref="A25:B25"/>
    <mergeCell ref="A26:B26"/>
    <mergeCell ref="A27:B27"/>
    <mergeCell ref="B30:C30"/>
    <mergeCell ref="A15:B15"/>
    <mergeCell ref="C1:H1"/>
    <mergeCell ref="A3:B3"/>
    <mergeCell ref="A4:B4"/>
    <mergeCell ref="A5:B5"/>
    <mergeCell ref="A6:B6"/>
    <mergeCell ref="A8:B8"/>
    <mergeCell ref="A9:B9"/>
    <mergeCell ref="A10:B10"/>
    <mergeCell ref="A11:B11"/>
    <mergeCell ref="A13:B13"/>
    <mergeCell ref="A14:B14"/>
  </mergeCells>
  <dataValidations count="3">
    <dataValidation type="list" allowBlank="1" showInputMessage="1" showErrorMessage="1" sqref="C74:H74" xr:uid="{00000000-0002-0000-1400-000000000000}">
      <formula1>".,ja,nein"</formula1>
    </dataValidation>
    <dataValidation type="decimal" allowBlank="1" showInputMessage="1" showErrorMessage="1" error="Der eingegebene Wert ist unzulässig. Bitte geben Sie eine Zahl ein, die größer 0 ist." sqref="C3:H6 C8:H11 C13:H16 C18:H22 C24:H27 C38:H39 C41:H41 C43:H45 C47:H49 C52:H53 C57:H59 C75:H77 C79:H82 C86:H88 C90:H95" xr:uid="{00000000-0002-0000-1400-000001000000}">
      <formula1>0</formula1>
      <formula2>1000000</formula2>
    </dataValidation>
    <dataValidation allowBlank="1" showInputMessage="1" showErrorMessage="1" prompt="Bitte geben Sie das Datum im Format MM/JJ ein (z.B. 03/19)." sqref="J76:J79" xr:uid="{00000000-0002-0000-1400-000002000000}"/>
  </dataValidations>
  <pageMargins left="0.7" right="0.7" top="0.78740157499999996" bottom="0.78740157499999996" header="0.3" footer="0.3"/>
  <pageSetup paperSize="9" orientation="landscape" r:id="rId1"/>
  <headerFooter>
    <oddHeader>&amp;L&amp;"Arial,Fett"4. Ermittlung des anzurechgnenden Einkommens des Kindes / der Kinder:
4.15. Einkommensermittlung Kind 15:
&amp;R&amp;D</oddHeader>
    <oddFooter>&amp;R&amp;P</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1"/>
  <dimension ref="A1:P34"/>
  <sheetViews>
    <sheetView showGridLines="0" zoomScaleNormal="100" workbookViewId="0">
      <selection activeCell="C4" sqref="C4:D4"/>
    </sheetView>
  </sheetViews>
  <sheetFormatPr baseColWidth="10" defaultColWidth="10.75" defaultRowHeight="14.25" x14ac:dyDescent="0.2"/>
  <cols>
    <col min="1" max="1" width="8.375" style="2" customWidth="1"/>
    <col min="2" max="3" width="8.625" style="2" customWidth="1"/>
    <col min="4" max="14" width="8.5" style="2" customWidth="1"/>
    <col min="15" max="15" width="10.75" style="2"/>
    <col min="16" max="16" width="15.75" style="2" customWidth="1"/>
    <col min="17" max="16384" width="10.75" style="2"/>
  </cols>
  <sheetData>
    <row r="1" spans="1:16" x14ac:dyDescent="0.2">
      <c r="A1" s="85"/>
      <c r="B1" s="85"/>
      <c r="C1" s="85"/>
      <c r="D1" s="85"/>
      <c r="E1" s="85"/>
      <c r="F1" s="85"/>
      <c r="G1" s="85"/>
      <c r="H1" s="85"/>
      <c r="I1" s="85"/>
      <c r="J1" s="85"/>
      <c r="K1" s="85"/>
      <c r="L1" s="85"/>
      <c r="M1" s="85"/>
      <c r="N1" s="85"/>
    </row>
    <row r="2" spans="1:16" x14ac:dyDescent="0.2">
      <c r="A2" s="85"/>
      <c r="B2" s="85"/>
      <c r="C2" s="85"/>
      <c r="D2" s="85"/>
      <c r="E2" s="85"/>
      <c r="F2" s="85"/>
      <c r="G2" s="85"/>
      <c r="H2" s="85"/>
      <c r="I2" s="85"/>
      <c r="J2" s="85"/>
      <c r="K2" s="85"/>
      <c r="L2" s="85"/>
      <c r="M2" s="85"/>
      <c r="N2" s="85"/>
    </row>
    <row r="3" spans="1:16" ht="15" x14ac:dyDescent="0.25">
      <c r="A3" s="416" t="s">
        <v>88</v>
      </c>
      <c r="B3" s="417"/>
      <c r="C3" s="418"/>
      <c r="D3" s="419"/>
      <c r="E3" s="631"/>
      <c r="F3" s="630"/>
      <c r="G3" s="630"/>
      <c r="H3" s="630"/>
      <c r="I3" s="85"/>
      <c r="J3" s="420"/>
      <c r="K3" s="1093" t="s">
        <v>174</v>
      </c>
      <c r="L3" s="982"/>
      <c r="M3" s="1094"/>
      <c r="N3" s="85"/>
    </row>
    <row r="4" spans="1:16" x14ac:dyDescent="0.2">
      <c r="A4" s="969" t="s">
        <v>89</v>
      </c>
      <c r="B4" s="969"/>
      <c r="C4" s="1100"/>
      <c r="D4" s="1100"/>
      <c r="E4" s="632" t="s">
        <v>532</v>
      </c>
      <c r="F4" s="633"/>
      <c r="G4" s="1076">
        <f>Kurzantrag!G5</f>
        <v>0</v>
      </c>
      <c r="H4" s="1077"/>
      <c r="I4" s="384"/>
      <c r="J4" s="421"/>
      <c r="K4" s="1088" t="s">
        <v>175</v>
      </c>
      <c r="L4" s="1095"/>
      <c r="M4" s="1089"/>
      <c r="N4" s="85"/>
    </row>
    <row r="5" spans="1:16" x14ac:dyDescent="0.2">
      <c r="A5" s="969" t="s">
        <v>230</v>
      </c>
      <c r="B5" s="969"/>
      <c r="C5" s="1100"/>
      <c r="D5" s="1100"/>
      <c r="E5" s="85"/>
      <c r="F5" s="85"/>
      <c r="G5" s="1092" t="str">
        <f>IF(AND(N5&gt;K5,G4=0),"Sie haben weniger Personen im Haushalt eingetragen, als in der BG leben!"," ")</f>
        <v xml:space="preserve"> </v>
      </c>
      <c r="H5" s="1092"/>
      <c r="I5" s="1092"/>
      <c r="J5" s="420"/>
      <c r="K5" s="1078"/>
      <c r="L5" s="1079"/>
      <c r="M5" s="1080"/>
      <c r="N5" s="84">
        <f>COUNTA(BG!C19:'BG'!C35)</f>
        <v>0</v>
      </c>
    </row>
    <row r="6" spans="1:16" x14ac:dyDescent="0.2">
      <c r="A6" s="969" t="s">
        <v>90</v>
      </c>
      <c r="B6" s="969"/>
      <c r="C6" s="1100"/>
      <c r="D6" s="1100"/>
      <c r="E6" s="85"/>
      <c r="F6" s="85"/>
      <c r="G6" s="1092"/>
      <c r="H6" s="1092"/>
      <c r="I6" s="1092"/>
      <c r="J6" s="85"/>
      <c r="K6" s="1084" t="s">
        <v>177</v>
      </c>
      <c r="L6" s="1085"/>
      <c r="M6" s="1086"/>
      <c r="N6" s="85"/>
      <c r="P6" s="663"/>
    </row>
    <row r="7" spans="1:16" x14ac:dyDescent="0.2">
      <c r="A7" s="969" t="s">
        <v>48</v>
      </c>
      <c r="B7" s="969"/>
      <c r="C7" s="1087">
        <f>IF(G4&gt;0,G4,SUM(C4:C6))</f>
        <v>0</v>
      </c>
      <c r="D7" s="1087"/>
      <c r="E7" s="85"/>
      <c r="F7" s="85"/>
      <c r="G7" s="1092"/>
      <c r="H7" s="1092"/>
      <c r="I7" s="1092"/>
      <c r="J7" s="85"/>
      <c r="K7" s="1081" t="s">
        <v>178</v>
      </c>
      <c r="L7" s="1082"/>
      <c r="M7" s="1083"/>
      <c r="N7" s="85"/>
    </row>
    <row r="8" spans="1:16" x14ac:dyDescent="0.2">
      <c r="A8" s="85"/>
      <c r="B8" s="85"/>
      <c r="C8" s="85"/>
      <c r="D8" s="85"/>
      <c r="E8" s="85"/>
      <c r="F8" s="85"/>
      <c r="G8" s="1092"/>
      <c r="H8" s="1092"/>
      <c r="I8" s="1092"/>
      <c r="J8" s="85"/>
      <c r="K8" s="1078" t="s">
        <v>521</v>
      </c>
      <c r="L8" s="1079"/>
      <c r="M8" s="1080"/>
      <c r="N8" s="85"/>
    </row>
    <row r="9" spans="1:16" ht="15" x14ac:dyDescent="0.25">
      <c r="A9" s="1096" t="s">
        <v>91</v>
      </c>
      <c r="B9" s="1096"/>
      <c r="C9" s="1096"/>
      <c r="D9" s="85"/>
      <c r="E9" s="85"/>
      <c r="F9" s="85"/>
      <c r="G9" s="85"/>
      <c r="H9" s="85"/>
      <c r="I9" s="423"/>
      <c r="J9" s="85"/>
      <c r="K9" s="85"/>
      <c r="L9" s="85"/>
      <c r="M9" s="85"/>
      <c r="N9" s="85"/>
    </row>
    <row r="10" spans="1:16" x14ac:dyDescent="0.2">
      <c r="A10" s="969" t="s">
        <v>121</v>
      </c>
      <c r="B10" s="969"/>
      <c r="C10" s="969"/>
      <c r="D10" s="1097"/>
      <c r="E10" s="1097"/>
      <c r="F10" s="134" t="s">
        <v>119</v>
      </c>
      <c r="G10" s="85"/>
      <c r="H10" s="602"/>
      <c r="I10" s="603"/>
      <c r="J10" s="127"/>
      <c r="K10" s="84" t="s">
        <v>483</v>
      </c>
      <c r="L10" s="84" t="s">
        <v>484</v>
      </c>
      <c r="M10" s="84"/>
      <c r="N10" s="127"/>
    </row>
    <row r="11" spans="1:16" x14ac:dyDescent="0.2">
      <c r="A11" s="969" t="s">
        <v>117</v>
      </c>
      <c r="B11" s="969"/>
      <c r="C11" s="969"/>
      <c r="D11" s="1098">
        <f>IF(D10=ISBLANK(0),0,IF(EOMONTH(BG!D2,0)&lt;D10,"Einzug &gt; Antrag",IF(EOMONTH(BG!D2,0)=EOMONTH(D10,0),1,IF(K12=L12,1,IF(D10&lt;DATE(YEAR(BG!D2)-1,1,1),12,DATEDIF(L12,K12,"m")+1)))))</f>
        <v>0</v>
      </c>
      <c r="E11" s="1099"/>
      <c r="F11" s="134" t="s">
        <v>118</v>
      </c>
      <c r="G11" s="85"/>
      <c r="H11" s="127"/>
      <c r="I11" s="604"/>
      <c r="J11" s="127"/>
      <c r="K11" s="435" t="e">
        <f>EDATE(BG!D2,-1)</f>
        <v>#NUM!</v>
      </c>
      <c r="L11" s="435" t="e">
        <f>MAX(EDATE(D10,0),EDATE(K11,-11))</f>
        <v>#NUM!</v>
      </c>
      <c r="M11" s="84"/>
      <c r="N11" s="127"/>
    </row>
    <row r="12" spans="1:16" ht="15" x14ac:dyDescent="0.25">
      <c r="A12" s="990" t="s">
        <v>120</v>
      </c>
      <c r="B12" s="990"/>
      <c r="C12" s="990"/>
      <c r="D12" s="424" t="str">
        <f>IF(D10=ISBLANK(0)," ",IF(D10&lt;=DATE(YEAR(BG!D2)-1,1,1),DATE(YEAR(BG!D2)-1,1,1),DATE(YEAR(L11),MONTH(L11),1)))</f>
        <v xml:space="preserve"> </v>
      </c>
      <c r="E12" s="425" t="str">
        <f>IF(D10=ISBLANK(0)," ",IF((EOMONTH(BG!D2,0))=(EOMONTH(D10,0)),D12,(EDATE(D12,D11-1))))</f>
        <v xml:space="preserve"> </v>
      </c>
      <c r="F12" s="426"/>
      <c r="G12" s="238"/>
      <c r="H12" s="605"/>
      <c r="I12" s="606"/>
      <c r="J12" s="605"/>
      <c r="K12" s="434" t="e">
        <f>EOMONTH(K11,0)</f>
        <v>#NUM!</v>
      </c>
      <c r="L12" s="434" t="e">
        <f>DATE(YEAR(L11),MONTH(L11),1)</f>
        <v>#NUM!</v>
      </c>
      <c r="M12" s="84"/>
      <c r="N12" s="127"/>
    </row>
    <row r="13" spans="1:16" x14ac:dyDescent="0.2">
      <c r="A13" s="85"/>
      <c r="B13" s="85"/>
      <c r="C13" s="85"/>
      <c r="D13" s="85"/>
      <c r="E13" s="85"/>
      <c r="F13" s="85"/>
      <c r="G13" s="85"/>
      <c r="H13" s="127"/>
      <c r="I13" s="127"/>
      <c r="J13" s="127"/>
      <c r="K13" s="127"/>
      <c r="L13" s="127"/>
      <c r="M13" s="127"/>
      <c r="N13" s="127"/>
    </row>
    <row r="14" spans="1:16" x14ac:dyDescent="0.2">
      <c r="A14" s="85"/>
      <c r="B14" s="657" t="s">
        <v>92</v>
      </c>
      <c r="C14" s="657" t="s">
        <v>94</v>
      </c>
      <c r="D14" s="657" t="s">
        <v>96</v>
      </c>
      <c r="E14" s="657" t="s">
        <v>98</v>
      </c>
      <c r="F14" s="657" t="s">
        <v>114</v>
      </c>
      <c r="G14" s="657" t="s">
        <v>100</v>
      </c>
      <c r="H14" s="657" t="s">
        <v>101</v>
      </c>
      <c r="I14" s="657" t="s">
        <v>102</v>
      </c>
      <c r="J14" s="657" t="s">
        <v>104</v>
      </c>
      <c r="K14" s="657" t="s">
        <v>113</v>
      </c>
      <c r="L14" s="657" t="s">
        <v>107</v>
      </c>
      <c r="M14" s="657" t="s">
        <v>109</v>
      </c>
      <c r="N14" s="657" t="s">
        <v>39</v>
      </c>
    </row>
    <row r="15" spans="1:16" x14ac:dyDescent="0.2">
      <c r="A15" s="85"/>
      <c r="B15" s="427" t="s">
        <v>93</v>
      </c>
      <c r="C15" s="427" t="s">
        <v>95</v>
      </c>
      <c r="D15" s="427" t="s">
        <v>97</v>
      </c>
      <c r="E15" s="427" t="s">
        <v>99</v>
      </c>
      <c r="F15" s="427" t="s">
        <v>111</v>
      </c>
      <c r="G15" s="427" t="s">
        <v>99</v>
      </c>
      <c r="H15" s="427" t="s">
        <v>99</v>
      </c>
      <c r="I15" s="427" t="s">
        <v>103</v>
      </c>
      <c r="J15" s="427" t="s">
        <v>105</v>
      </c>
      <c r="K15" s="427" t="s">
        <v>106</v>
      </c>
      <c r="L15" s="427" t="s">
        <v>108</v>
      </c>
      <c r="M15" s="427" t="s">
        <v>115</v>
      </c>
      <c r="N15" s="427" t="s">
        <v>110</v>
      </c>
    </row>
    <row r="16" spans="1:16" x14ac:dyDescent="0.2">
      <c r="A16" s="85"/>
      <c r="B16" s="658"/>
      <c r="C16" s="658"/>
      <c r="D16" s="658"/>
      <c r="E16" s="658"/>
      <c r="F16" s="658" t="s">
        <v>112</v>
      </c>
      <c r="G16" s="658"/>
      <c r="H16" s="658"/>
      <c r="I16" s="658"/>
      <c r="J16" s="658"/>
      <c r="K16" s="658"/>
      <c r="L16" s="658"/>
      <c r="M16" s="658" t="s">
        <v>116</v>
      </c>
      <c r="N16" s="658"/>
    </row>
    <row r="17" spans="1:14" x14ac:dyDescent="0.2">
      <c r="A17" s="428" t="str">
        <f>IF(D10=ISBLANK(0)," ",E12)</f>
        <v xml:space="preserve"> </v>
      </c>
      <c r="B17" s="429"/>
      <c r="C17" s="429"/>
      <c r="D17" s="429"/>
      <c r="E17" s="429"/>
      <c r="F17" s="429"/>
      <c r="G17" s="429"/>
      <c r="H17" s="429"/>
      <c r="I17" s="429"/>
      <c r="J17" s="429"/>
      <c r="K17" s="429"/>
      <c r="L17" s="429"/>
      <c r="M17" s="429"/>
      <c r="N17" s="429"/>
    </row>
    <row r="18" spans="1:14" x14ac:dyDescent="0.2">
      <c r="A18" s="428" t="str">
        <f>IF(OR(D10=ISBLANK(0),D11&lt;2)," ",EDATE(A17,-1))</f>
        <v xml:space="preserve"> </v>
      </c>
      <c r="B18" s="430"/>
      <c r="C18" s="429"/>
      <c r="D18" s="429"/>
      <c r="E18" s="429"/>
      <c r="F18" s="429"/>
      <c r="G18" s="429"/>
      <c r="H18" s="429"/>
      <c r="I18" s="429"/>
      <c r="J18" s="429"/>
      <c r="K18" s="429"/>
      <c r="L18" s="429"/>
      <c r="M18" s="429"/>
      <c r="N18" s="429"/>
    </row>
    <row r="19" spans="1:14" x14ac:dyDescent="0.2">
      <c r="A19" s="428" t="str">
        <f>IF(OR(D10=ISBLANK(0),D11&lt;3)," ",EDATE(A17,-2))</f>
        <v xml:space="preserve"> </v>
      </c>
      <c r="B19" s="430"/>
      <c r="C19" s="429"/>
      <c r="D19" s="429"/>
      <c r="E19" s="429"/>
      <c r="F19" s="429"/>
      <c r="G19" s="429"/>
      <c r="H19" s="429"/>
      <c r="I19" s="429"/>
      <c r="J19" s="429"/>
      <c r="K19" s="429"/>
      <c r="L19" s="429"/>
      <c r="M19" s="429"/>
      <c r="N19" s="429"/>
    </row>
    <row r="20" spans="1:14" x14ac:dyDescent="0.2">
      <c r="A20" s="428" t="str">
        <f>IF(OR(D10=ISBLANK(0),D11&lt;4)," ",EDATE(A17,-3))</f>
        <v xml:space="preserve"> </v>
      </c>
      <c r="B20" s="430"/>
      <c r="C20" s="429"/>
      <c r="D20" s="429"/>
      <c r="E20" s="429"/>
      <c r="F20" s="429"/>
      <c r="G20" s="429"/>
      <c r="H20" s="429"/>
      <c r="I20" s="429"/>
      <c r="J20" s="429"/>
      <c r="K20" s="429"/>
      <c r="L20" s="429"/>
      <c r="M20" s="429"/>
      <c r="N20" s="429"/>
    </row>
    <row r="21" spans="1:14" x14ac:dyDescent="0.2">
      <c r="A21" s="428" t="str">
        <f>IF(OR(D10=ISBLANK(0),D11&lt;5)," ",EDATE(A17,-4))</f>
        <v xml:space="preserve"> </v>
      </c>
      <c r="B21" s="430"/>
      <c r="C21" s="429"/>
      <c r="D21" s="429"/>
      <c r="E21" s="429"/>
      <c r="F21" s="429"/>
      <c r="G21" s="429"/>
      <c r="H21" s="429"/>
      <c r="I21" s="429"/>
      <c r="J21" s="429"/>
      <c r="K21" s="429"/>
      <c r="L21" s="429"/>
      <c r="M21" s="429"/>
      <c r="N21" s="429"/>
    </row>
    <row r="22" spans="1:14" x14ac:dyDescent="0.2">
      <c r="A22" s="428" t="str">
        <f>IF(OR(D10=ISBLANK(0),D11&lt;6)," ",EDATE(A17,-5))</f>
        <v xml:space="preserve"> </v>
      </c>
      <c r="B22" s="430"/>
      <c r="C22" s="429"/>
      <c r="D22" s="429"/>
      <c r="E22" s="429"/>
      <c r="F22" s="429"/>
      <c r="G22" s="429"/>
      <c r="H22" s="429"/>
      <c r="I22" s="429"/>
      <c r="J22" s="429"/>
      <c r="K22" s="429"/>
      <c r="L22" s="429"/>
      <c r="M22" s="429"/>
      <c r="N22" s="429"/>
    </row>
    <row r="23" spans="1:14" x14ac:dyDescent="0.2">
      <c r="A23" s="428" t="str">
        <f>IF(OR(D10=ISBLANK(0),D11&lt;7)," ",EDATE(A17,-6))</f>
        <v xml:space="preserve"> </v>
      </c>
      <c r="B23" s="430"/>
      <c r="C23" s="429"/>
      <c r="D23" s="429"/>
      <c r="E23" s="429"/>
      <c r="F23" s="429"/>
      <c r="G23" s="429"/>
      <c r="H23" s="429"/>
      <c r="I23" s="429"/>
      <c r="J23" s="429"/>
      <c r="K23" s="429"/>
      <c r="L23" s="429"/>
      <c r="M23" s="429"/>
      <c r="N23" s="429"/>
    </row>
    <row r="24" spans="1:14" x14ac:dyDescent="0.2">
      <c r="A24" s="428" t="str">
        <f>IF(OR(D10=ISBLANK(0),D11&lt;8)," ",EDATE(A17,-7))</f>
        <v xml:space="preserve"> </v>
      </c>
      <c r="B24" s="430"/>
      <c r="C24" s="429"/>
      <c r="D24" s="429"/>
      <c r="E24" s="429"/>
      <c r="F24" s="429"/>
      <c r="G24" s="429"/>
      <c r="H24" s="429"/>
      <c r="I24" s="429"/>
      <c r="J24" s="429"/>
      <c r="K24" s="429"/>
      <c r="L24" s="429"/>
      <c r="M24" s="429"/>
      <c r="N24" s="429"/>
    </row>
    <row r="25" spans="1:14" x14ac:dyDescent="0.2">
      <c r="A25" s="428" t="str">
        <f>IF(OR(D10=ISBLANK(0),D11&lt;9)," ",EDATE(A17,-8))</f>
        <v xml:space="preserve"> </v>
      </c>
      <c r="B25" s="430"/>
      <c r="C25" s="429"/>
      <c r="D25" s="429"/>
      <c r="E25" s="429"/>
      <c r="F25" s="429"/>
      <c r="G25" s="429"/>
      <c r="H25" s="429"/>
      <c r="I25" s="429"/>
      <c r="J25" s="429"/>
      <c r="K25" s="429"/>
      <c r="L25" s="429"/>
      <c r="M25" s="429"/>
      <c r="N25" s="429"/>
    </row>
    <row r="26" spans="1:14" x14ac:dyDescent="0.2">
      <c r="A26" s="428" t="str">
        <f>IF(OR(D10=ISBLANK(0),D11&lt;10)," ",EDATE(A17,-9))</f>
        <v xml:space="preserve"> </v>
      </c>
      <c r="B26" s="430"/>
      <c r="C26" s="429"/>
      <c r="D26" s="429"/>
      <c r="E26" s="429"/>
      <c r="F26" s="429"/>
      <c r="G26" s="429"/>
      <c r="H26" s="429"/>
      <c r="I26" s="429"/>
      <c r="J26" s="429"/>
      <c r="K26" s="429"/>
      <c r="L26" s="429"/>
      <c r="M26" s="429"/>
      <c r="N26" s="429"/>
    </row>
    <row r="27" spans="1:14" x14ac:dyDescent="0.2">
      <c r="A27" s="428" t="str">
        <f>IF(OR(D10=ISBLANK(0),D11&lt;11)," ",EDATE(A17,-10))</f>
        <v xml:space="preserve"> </v>
      </c>
      <c r="B27" s="430"/>
      <c r="C27" s="429"/>
      <c r="D27" s="429"/>
      <c r="E27" s="429"/>
      <c r="F27" s="429"/>
      <c r="G27" s="429"/>
      <c r="H27" s="429"/>
      <c r="I27" s="429"/>
      <c r="J27" s="429"/>
      <c r="K27" s="429"/>
      <c r="L27" s="429"/>
      <c r="M27" s="429"/>
      <c r="N27" s="429"/>
    </row>
    <row r="28" spans="1:14" x14ac:dyDescent="0.2">
      <c r="A28" s="428" t="str">
        <f>IF(OR(D10=ISBLANK(0),D11&lt;12)," ",EDATE(A17,-11))</f>
        <v xml:space="preserve"> </v>
      </c>
      <c r="B28" s="430"/>
      <c r="C28" s="429"/>
      <c r="D28" s="429"/>
      <c r="E28" s="429"/>
      <c r="F28" s="429"/>
      <c r="G28" s="429"/>
      <c r="H28" s="429"/>
      <c r="I28" s="429"/>
      <c r="J28" s="429"/>
      <c r="K28" s="429"/>
      <c r="L28" s="429"/>
      <c r="M28" s="429"/>
      <c r="N28" s="429"/>
    </row>
    <row r="29" spans="1:14" x14ac:dyDescent="0.2">
      <c r="A29" s="431" t="s">
        <v>48</v>
      </c>
      <c r="B29" s="432">
        <f t="shared" ref="B29:N29" si="0">SUM(B17:B28)</f>
        <v>0</v>
      </c>
      <c r="C29" s="432">
        <f t="shared" si="0"/>
        <v>0</v>
      </c>
      <c r="D29" s="432">
        <f t="shared" si="0"/>
        <v>0</v>
      </c>
      <c r="E29" s="432">
        <f t="shared" si="0"/>
        <v>0</v>
      </c>
      <c r="F29" s="432">
        <f t="shared" si="0"/>
        <v>0</v>
      </c>
      <c r="G29" s="432">
        <f t="shared" si="0"/>
        <v>0</v>
      </c>
      <c r="H29" s="432">
        <f t="shared" si="0"/>
        <v>0</v>
      </c>
      <c r="I29" s="432">
        <f t="shared" si="0"/>
        <v>0</v>
      </c>
      <c r="J29" s="432">
        <f t="shared" si="0"/>
        <v>0</v>
      </c>
      <c r="K29" s="432">
        <f t="shared" si="0"/>
        <v>0</v>
      </c>
      <c r="L29" s="432">
        <f t="shared" si="0"/>
        <v>0</v>
      </c>
      <c r="M29" s="432">
        <f t="shared" si="0"/>
        <v>0</v>
      </c>
      <c r="N29" s="432">
        <f t="shared" si="0"/>
        <v>0</v>
      </c>
    </row>
    <row r="30" spans="1:14" x14ac:dyDescent="0.2">
      <c r="A30" s="966" t="s">
        <v>139</v>
      </c>
      <c r="B30" s="966"/>
      <c r="C30" s="1087">
        <f>SUM(B29:N29)</f>
        <v>0</v>
      </c>
      <c r="D30" s="1087"/>
      <c r="E30" s="664"/>
      <c r="F30" s="665"/>
      <c r="G30" s="665"/>
      <c r="H30" s="665"/>
      <c r="I30" s="665"/>
      <c r="J30" s="665"/>
      <c r="K30" s="665"/>
      <c r="L30" s="665"/>
      <c r="M30" s="665"/>
      <c r="N30" s="665"/>
    </row>
    <row r="31" spans="1:14" x14ac:dyDescent="0.2">
      <c r="A31" s="1088" t="s">
        <v>140</v>
      </c>
      <c r="B31" s="1089"/>
      <c r="C31" s="1090">
        <f>IF(AND(D11=0,C30&gt;0),1,D11)</f>
        <v>0</v>
      </c>
      <c r="D31" s="1091"/>
      <c r="E31" s="666"/>
      <c r="F31" s="667"/>
      <c r="G31" s="667"/>
      <c r="H31" s="667"/>
      <c r="I31" s="667"/>
      <c r="J31" s="667"/>
      <c r="K31" s="667"/>
      <c r="L31" s="667"/>
      <c r="M31" s="667"/>
      <c r="N31" s="667"/>
    </row>
    <row r="32" spans="1:14" x14ac:dyDescent="0.2">
      <c r="A32" s="966" t="s">
        <v>141</v>
      </c>
      <c r="B32" s="966"/>
      <c r="C32" s="1087">
        <f>IF(C30&gt;0,C30/C31,0)</f>
        <v>0</v>
      </c>
      <c r="D32" s="1087"/>
      <c r="E32" s="384"/>
      <c r="F32" s="668"/>
      <c r="G32" s="668"/>
      <c r="H32" s="668"/>
      <c r="I32" s="668"/>
      <c r="J32" s="668"/>
      <c r="K32" s="668"/>
      <c r="L32" s="668"/>
      <c r="M32" s="668"/>
      <c r="N32" s="668"/>
    </row>
    <row r="33" spans="1:14" x14ac:dyDescent="0.2">
      <c r="A33" s="86"/>
      <c r="B33" s="95"/>
      <c r="C33" s="95"/>
      <c r="D33" s="95"/>
      <c r="E33" s="95"/>
      <c r="F33" s="95"/>
      <c r="G33" s="95"/>
      <c r="H33" s="95"/>
      <c r="I33" s="95"/>
      <c r="J33" s="95"/>
      <c r="K33" s="95"/>
      <c r="L33" s="95"/>
      <c r="M33" s="95"/>
      <c r="N33" s="95"/>
    </row>
    <row r="34" spans="1:14" x14ac:dyDescent="0.2">
      <c r="A34" s="85"/>
      <c r="B34" s="85"/>
      <c r="C34" s="85"/>
      <c r="D34" s="85"/>
      <c r="E34" s="85"/>
      <c r="F34" s="85"/>
      <c r="G34" s="85"/>
      <c r="H34" s="85"/>
      <c r="I34" s="85"/>
      <c r="J34" s="85"/>
      <c r="K34" s="85"/>
      <c r="L34" s="85"/>
      <c r="M34" s="85"/>
      <c r="N34" s="85"/>
    </row>
  </sheetData>
  <sheetProtection algorithmName="SHA-512" hashValue="n43IF0vyZbhFbkNTIJ1IFK0V1wLd2BbYSIBg9gKQcLNO4mgqmbXtgOt7ceqr6vcw9LlenHrtV+D1unXuDs9YQg==" saltValue="g6MxSamWZllUVydZ1hXm1g==" spinCount="100000" sheet="1" formatCells="0" formatColumns="0" formatRows="0" insertColumns="0" insertRows="0" insertHyperlinks="0" deleteColumns="0" deleteRows="0" sort="0" pivotTables="0"/>
  <mergeCells count="28">
    <mergeCell ref="K3:M3"/>
    <mergeCell ref="K4:M4"/>
    <mergeCell ref="K5:M5"/>
    <mergeCell ref="A12:C12"/>
    <mergeCell ref="A4:B4"/>
    <mergeCell ref="A5:B5"/>
    <mergeCell ref="A6:B6"/>
    <mergeCell ref="A10:C10"/>
    <mergeCell ref="A9:C9"/>
    <mergeCell ref="A7:B7"/>
    <mergeCell ref="C7:D7"/>
    <mergeCell ref="D10:E10"/>
    <mergeCell ref="D11:E11"/>
    <mergeCell ref="C4:D4"/>
    <mergeCell ref="C5:D5"/>
    <mergeCell ref="C6:D6"/>
    <mergeCell ref="G4:H4"/>
    <mergeCell ref="K8:M8"/>
    <mergeCell ref="K7:M7"/>
    <mergeCell ref="K6:M6"/>
    <mergeCell ref="A32:B32"/>
    <mergeCell ref="C32:D32"/>
    <mergeCell ref="A11:C11"/>
    <mergeCell ref="A30:B30"/>
    <mergeCell ref="C30:D30"/>
    <mergeCell ref="A31:B31"/>
    <mergeCell ref="C31:D31"/>
    <mergeCell ref="G5:I8"/>
  </mergeCells>
  <conditionalFormatting sqref="K5:M5">
    <cfRule type="cellIs" dxfId="29" priority="3" operator="lessThan">
      <formula>$N$5</formula>
    </cfRule>
  </conditionalFormatting>
  <dataValidations count="2">
    <dataValidation type="list" allowBlank="1" showInputMessage="1" showErrorMessage="1" sqref="K8:M8" xr:uid="{00000000-0002-0000-1500-000000000000}">
      <formula1>"bitte auswählen,ja,nein"</formula1>
    </dataValidation>
    <dataValidation type="decimal" allowBlank="1" showInputMessage="1" showErrorMessage="1" error="Der eingegebene Wert ist unzulässig. Bitte geben Sie eine Zahl ein, die größer 0 ist." sqref="C4:D6" xr:uid="{00000000-0002-0000-1500-000001000000}">
      <formula1>0</formula1>
      <formula2>1000000</formula2>
    </dataValidation>
  </dataValidations>
  <pageMargins left="0.70866141732283472" right="0.70866141732283472" top="0.8666666666666667" bottom="0.78740157480314965" header="0.31496062992125984" footer="0.31496062992125984"/>
  <pageSetup paperSize="9" orientation="landscape" r:id="rId1"/>
  <headerFooter>
    <oddHeader>&amp;L&amp;"Arial,Fett"&amp;U5. Ermittlung der Bedarfe der Unterkunft:
&amp;R&amp;D</oddHeader>
    <oddFooter>&amp;R&amp;P</oddFooter>
  </headerFooter>
  <ignoredErrors>
    <ignoredError sqref="K11:L12" evalError="1"/>
  </ignoredErrors>
  <extLst>
    <ext xmlns:x14="http://schemas.microsoft.com/office/spreadsheetml/2009/9/main" uri="{78C0D931-6437-407d-A8EE-F0AAD7539E65}">
      <x14:conditionalFormattings>
        <x14:conditionalFormatting xmlns:xm="http://schemas.microsoft.com/office/excel/2006/main">
          <x14:cfRule type="expression" priority="2" id="{585106CC-D383-43CD-B143-6D2F69D770D5}">
            <xm:f>Kurzantrag!$B$3&lt;=0</xm:f>
            <x14:dxf>
              <font>
                <color theme="0"/>
              </font>
              <fill>
                <patternFill>
                  <bgColor theme="0"/>
                </patternFill>
              </fill>
              <border>
                <left style="thin">
                  <color auto="1"/>
                </left>
                <right/>
                <top/>
                <bottom/>
              </border>
            </x14:dxf>
          </x14:cfRule>
          <xm:sqref>E4:H4</xm:sqref>
        </x14:conditionalFormatting>
        <x14:conditionalFormatting xmlns:xm="http://schemas.microsoft.com/office/excel/2006/main">
          <x14:cfRule type="expression" priority="1" id="{A80EF208-E162-4138-B170-D73A92A75AAE}">
            <xm:f>Kurzantrag!$B$3&lt;=0</xm:f>
            <x14:dxf>
              <border>
                <left/>
                <right/>
                <top/>
                <bottom/>
                <vertical/>
                <horizontal/>
              </border>
            </x14:dxf>
          </x14:cfRule>
          <xm:sqref>G4:H4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2"/>
  <dimension ref="A1:M64"/>
  <sheetViews>
    <sheetView showGridLines="0" zoomScaleNormal="100" workbookViewId="0">
      <selection activeCell="E2" sqref="E2"/>
    </sheetView>
  </sheetViews>
  <sheetFormatPr baseColWidth="10" defaultRowHeight="14.25" x14ac:dyDescent="0.2"/>
  <cols>
    <col min="1" max="4" width="11" style="1"/>
    <col min="5" max="5" width="11.375" style="1" bestFit="1" customWidth="1"/>
    <col min="6" max="16384" width="11" style="1"/>
  </cols>
  <sheetData>
    <row r="1" spans="1:13" ht="15" x14ac:dyDescent="0.25">
      <c r="A1" s="438"/>
      <c r="B1" s="85"/>
      <c r="C1" s="85"/>
      <c r="D1" s="85"/>
      <c r="E1" s="439" t="s">
        <v>142</v>
      </c>
      <c r="F1" s="439" t="s">
        <v>394</v>
      </c>
      <c r="G1" s="439" t="s">
        <v>13</v>
      </c>
      <c r="H1" s="439" t="s">
        <v>14</v>
      </c>
      <c r="I1" s="439" t="s">
        <v>15</v>
      </c>
      <c r="J1" s="439" t="s">
        <v>16</v>
      </c>
      <c r="K1" s="439" t="s">
        <v>17</v>
      </c>
      <c r="L1" s="439" t="s">
        <v>18</v>
      </c>
      <c r="M1" s="439" t="s">
        <v>340</v>
      </c>
    </row>
    <row r="2" spans="1:13" x14ac:dyDescent="0.2">
      <c r="A2" s="1102" t="s">
        <v>122</v>
      </c>
      <c r="B2" s="1103"/>
      <c r="C2" s="1103"/>
      <c r="D2" s="1104"/>
      <c r="E2" s="440"/>
      <c r="F2" s="440"/>
      <c r="G2" s="440"/>
      <c r="H2" s="440"/>
      <c r="I2" s="440"/>
      <c r="J2" s="440"/>
      <c r="K2" s="440"/>
      <c r="L2" s="440"/>
      <c r="M2" s="440"/>
    </row>
    <row r="3" spans="1:13" x14ac:dyDescent="0.2">
      <c r="A3" s="1102" t="s">
        <v>123</v>
      </c>
      <c r="B3" s="1103"/>
      <c r="C3" s="1103"/>
      <c r="D3" s="1104"/>
      <c r="E3" s="440"/>
      <c r="F3" s="440"/>
      <c r="G3" s="440"/>
      <c r="H3" s="440"/>
      <c r="I3" s="440"/>
      <c r="J3" s="440"/>
      <c r="K3" s="388"/>
      <c r="L3" s="440"/>
      <c r="M3" s="440"/>
    </row>
    <row r="4" spans="1:13" x14ac:dyDescent="0.2">
      <c r="A4" s="1102" t="s">
        <v>124</v>
      </c>
      <c r="B4" s="1103"/>
      <c r="C4" s="1103"/>
      <c r="D4" s="1104"/>
      <c r="E4" s="440"/>
      <c r="F4" s="440"/>
      <c r="G4" s="440"/>
      <c r="H4" s="440"/>
      <c r="I4" s="440"/>
      <c r="J4" s="440"/>
      <c r="K4" s="388"/>
      <c r="L4" s="440"/>
      <c r="M4" s="440"/>
    </row>
    <row r="5" spans="1:13" x14ac:dyDescent="0.2">
      <c r="A5" s="1102" t="s">
        <v>125</v>
      </c>
      <c r="B5" s="1103"/>
      <c r="C5" s="1103"/>
      <c r="D5" s="1104"/>
      <c r="E5" s="440"/>
      <c r="F5" s="440"/>
      <c r="G5" s="440"/>
      <c r="H5" s="440"/>
      <c r="I5" s="440"/>
      <c r="J5" s="440"/>
      <c r="K5" s="388"/>
      <c r="L5" s="440"/>
      <c r="M5" s="440"/>
    </row>
    <row r="6" spans="1:13" x14ac:dyDescent="0.2">
      <c r="A6" s="1102" t="s">
        <v>126</v>
      </c>
      <c r="B6" s="1103"/>
      <c r="C6" s="1103"/>
      <c r="D6" s="1104"/>
      <c r="E6" s="440"/>
      <c r="F6" s="440"/>
      <c r="G6" s="440"/>
      <c r="H6" s="440"/>
      <c r="I6" s="440"/>
      <c r="J6" s="440"/>
      <c r="K6" s="388"/>
      <c r="L6" s="440"/>
      <c r="M6" s="440"/>
    </row>
    <row r="7" spans="1:13" x14ac:dyDescent="0.2">
      <c r="A7" s="1102" t="s">
        <v>127</v>
      </c>
      <c r="B7" s="1103"/>
      <c r="C7" s="1103"/>
      <c r="D7" s="1104"/>
      <c r="E7" s="440"/>
      <c r="F7" s="440"/>
      <c r="G7" s="440"/>
      <c r="H7" s="440"/>
      <c r="I7" s="440"/>
      <c r="J7" s="440"/>
      <c r="K7" s="388"/>
      <c r="L7" s="440"/>
      <c r="M7" s="440"/>
    </row>
    <row r="8" spans="1:13" x14ac:dyDescent="0.2">
      <c r="A8" s="1102" t="s">
        <v>128</v>
      </c>
      <c r="B8" s="1103"/>
      <c r="C8" s="1103"/>
      <c r="D8" s="1104"/>
      <c r="E8" s="440"/>
      <c r="F8" s="440"/>
      <c r="G8" s="440"/>
      <c r="H8" s="440"/>
      <c r="I8" s="440"/>
      <c r="J8" s="440"/>
      <c r="K8" s="388"/>
      <c r="L8" s="440"/>
      <c r="M8" s="440"/>
    </row>
    <row r="9" spans="1:13" x14ac:dyDescent="0.2">
      <c r="A9" s="1102" t="s">
        <v>129</v>
      </c>
      <c r="B9" s="1103"/>
      <c r="C9" s="1103"/>
      <c r="D9" s="1104"/>
      <c r="E9" s="440"/>
      <c r="F9" s="440"/>
      <c r="G9" s="440"/>
      <c r="H9" s="440"/>
      <c r="I9" s="440"/>
      <c r="J9" s="440"/>
      <c r="K9" s="388"/>
      <c r="L9" s="440"/>
      <c r="M9" s="440"/>
    </row>
    <row r="10" spans="1:13" ht="15" x14ac:dyDescent="0.25">
      <c r="A10" s="1008" t="s">
        <v>48</v>
      </c>
      <c r="B10" s="1105"/>
      <c r="C10" s="1105"/>
      <c r="D10" s="1009"/>
      <c r="E10" s="441">
        <f t="shared" ref="E10:K10" si="0">SUM(E2:E9)</f>
        <v>0</v>
      </c>
      <c r="F10" s="441">
        <f t="shared" si="0"/>
        <v>0</v>
      </c>
      <c r="G10" s="441">
        <f t="shared" si="0"/>
        <v>0</v>
      </c>
      <c r="H10" s="441">
        <f t="shared" si="0"/>
        <v>0</v>
      </c>
      <c r="I10" s="441">
        <f t="shared" si="0"/>
        <v>0</v>
      </c>
      <c r="J10" s="441">
        <f t="shared" si="0"/>
        <v>0</v>
      </c>
      <c r="K10" s="441">
        <f t="shared" si="0"/>
        <v>0</v>
      </c>
      <c r="L10" s="442">
        <f>SUM(L2:L9)</f>
        <v>0</v>
      </c>
      <c r="M10" s="442">
        <f>SUM(M2:M9)</f>
        <v>0</v>
      </c>
    </row>
    <row r="11" spans="1:13" x14ac:dyDescent="0.2">
      <c r="A11" s="1102" t="s">
        <v>132</v>
      </c>
      <c r="B11" s="1103"/>
      <c r="C11" s="1103"/>
      <c r="D11" s="1104"/>
      <c r="E11" s="444"/>
      <c r="F11" s="444"/>
      <c r="G11" s="443">
        <f>IF(Datenblatt!E74&lt;18,3100,0)</f>
        <v>3100</v>
      </c>
      <c r="H11" s="443">
        <f>IF(Datenblatt!F74&lt;18,3100,0)</f>
        <v>3100</v>
      </c>
      <c r="I11" s="443">
        <f>IF(Datenblatt!G74&lt;18,3100,0)</f>
        <v>3100</v>
      </c>
      <c r="J11" s="443">
        <f>IF(Datenblatt!H74&lt;18,3100,0)</f>
        <v>3100</v>
      </c>
      <c r="K11" s="443">
        <f>IF(Datenblatt!I74&lt;18,3100,0)</f>
        <v>3100</v>
      </c>
      <c r="L11" s="443">
        <f>IF(Datenblatt!J74&lt;18,3100,0)</f>
        <v>3100</v>
      </c>
      <c r="M11" s="443">
        <f>IF(Datenblatt!K74&lt;18,3100,0)</f>
        <v>3100</v>
      </c>
    </row>
    <row r="12" spans="1:13" x14ac:dyDescent="0.2">
      <c r="A12" s="1102" t="s">
        <v>138</v>
      </c>
      <c r="B12" s="1103"/>
      <c r="C12" s="1103"/>
      <c r="D12" s="1104"/>
      <c r="E12" s="440"/>
      <c r="F12" s="440"/>
      <c r="G12" s="440"/>
      <c r="H12" s="440"/>
      <c r="I12" s="440"/>
      <c r="J12" s="440"/>
      <c r="K12" s="388"/>
      <c r="L12" s="440"/>
      <c r="M12" s="440"/>
    </row>
    <row r="13" spans="1:13" x14ac:dyDescent="0.2">
      <c r="A13" s="1102" t="s">
        <v>134</v>
      </c>
      <c r="B13" s="1103"/>
      <c r="C13" s="1103"/>
      <c r="D13" s="1104"/>
      <c r="E13" s="440"/>
      <c r="F13" s="440"/>
      <c r="G13" s="440"/>
      <c r="H13" s="440"/>
      <c r="I13" s="440"/>
      <c r="J13" s="440"/>
      <c r="K13" s="388"/>
      <c r="L13" s="440"/>
      <c r="M13" s="440"/>
    </row>
    <row r="14" spans="1:13" x14ac:dyDescent="0.2">
      <c r="A14" s="1102" t="s">
        <v>135</v>
      </c>
      <c r="B14" s="1103"/>
      <c r="C14" s="1103"/>
      <c r="D14" s="1104"/>
      <c r="E14" s="444">
        <f>IF(Datenblatt!B74=0,0,IF(Datenblatt!B74*150&lt;3100,3100,Datenblatt!B74*150))</f>
        <v>0</v>
      </c>
      <c r="F14" s="443">
        <f>IF(BG!D20=0,0,IF(Datenblatt!C74*150&lt;3100,3100,Datenblatt!C74*150))</f>
        <v>0</v>
      </c>
      <c r="G14" s="443">
        <f>IF(G11=3100,0,IF((Datenblatt!E74*150)=0,0,IF((Datenblatt!E74*150)&lt;3100,3100,(Datenblatt!E74*150))))</f>
        <v>0</v>
      </c>
      <c r="H14" s="443">
        <f>IF(H11=3100,0,IF((Datenblatt!F74*150)=0,0,IF((Datenblatt!F74*150)&lt;3100,3100,(Datenblatt!F74*150))))</f>
        <v>0</v>
      </c>
      <c r="I14" s="443">
        <f>IF(I11=3100,0,IF((Datenblatt!G74*150)=0,0,IF((Datenblatt!G74*150)&lt;3100,3100,(Datenblatt!G74*150))))</f>
        <v>0</v>
      </c>
      <c r="J14" s="443">
        <f>IF(J11=3100,0,IF((Datenblatt!H74*150)=0,0,IF((Datenblatt!H74*150)&lt;3100,3100,(Datenblatt!H74*150))))</f>
        <v>0</v>
      </c>
      <c r="K14" s="443">
        <f>IF(K11=3100,0,IF((Datenblatt!I74*150)=0,0,IF((Datenblatt!I74*150)&lt;3100,3100,(Datenblatt!I74*150))))</f>
        <v>0</v>
      </c>
      <c r="L14" s="443">
        <f>IF(L11=3100,0,IF((Datenblatt!J74*150)=0,0,IF((Datenblatt!J74*150)&lt;3100,3100,(Datenblatt!J74*150))))</f>
        <v>0</v>
      </c>
      <c r="M14" s="443">
        <f>IF(M11=3100,0,IF((Datenblatt!K74*150)=0,0,IF((Datenblatt!K74*150)&lt;3100,3100,(Datenblatt!K74*150))))</f>
        <v>0</v>
      </c>
    </row>
    <row r="15" spans="1:13" x14ac:dyDescent="0.2">
      <c r="A15" s="1102" t="s">
        <v>137</v>
      </c>
      <c r="B15" s="1103"/>
      <c r="C15" s="1103"/>
      <c r="D15" s="1104"/>
      <c r="E15" s="94">
        <f>IF(E10=0,0,IF((E10-SUM(E12:E14))&lt;0,0,IF((E10-SUM(E12:E14))&gt;=750,750,(E10-SUM(E12:E14)))))</f>
        <v>0</v>
      </c>
      <c r="F15" s="94">
        <f>IF(F10=0,0,IF((F10-SUM(F12:F14))&lt;0,0,IF((F10-SUM(F12:F14))&gt;=750,750,(F10-SUM(F12:F14)))))</f>
        <v>0</v>
      </c>
      <c r="G15" s="94">
        <f t="shared" ref="G15:M15" si="1">IF(G10=0,0,IF((G10-SUM(G11:G14))&lt;0,0,IF((G10-SUM(G11:G14))&gt;=750,750,(G10-SUM(G11:G14)))))</f>
        <v>0</v>
      </c>
      <c r="H15" s="94">
        <f t="shared" si="1"/>
        <v>0</v>
      </c>
      <c r="I15" s="94">
        <f t="shared" si="1"/>
        <v>0</v>
      </c>
      <c r="J15" s="94">
        <f t="shared" si="1"/>
        <v>0</v>
      </c>
      <c r="K15" s="94">
        <f t="shared" si="1"/>
        <v>0</v>
      </c>
      <c r="L15" s="94">
        <f t="shared" si="1"/>
        <v>0</v>
      </c>
      <c r="M15" s="94">
        <f t="shared" si="1"/>
        <v>0</v>
      </c>
    </row>
    <row r="16" spans="1:13" x14ac:dyDescent="0.2">
      <c r="A16" s="1102" t="s">
        <v>138</v>
      </c>
      <c r="B16" s="1103"/>
      <c r="C16" s="1103"/>
      <c r="D16" s="1104"/>
      <c r="E16" s="1106">
        <f>((COUNTA(BG!C19:'BG'!C35))*750)-SUM(E15:M15)-SUM(E33:L33)</f>
        <v>0</v>
      </c>
      <c r="F16" s="1107"/>
      <c r="G16" s="85"/>
      <c r="H16" s="85"/>
      <c r="I16" s="85"/>
      <c r="J16" s="85"/>
      <c r="K16" s="85"/>
      <c r="L16" s="85"/>
      <c r="M16" s="85"/>
    </row>
    <row r="17" spans="1:13" x14ac:dyDescent="0.2">
      <c r="A17" s="1102" t="s">
        <v>136</v>
      </c>
      <c r="B17" s="1103"/>
      <c r="C17" s="1103"/>
      <c r="D17" s="1104"/>
      <c r="E17" s="1106">
        <f>IF(((E10+F10)-SUM(E11:E15)-SUM(F11:F15)-E16)&lt;0,0,((E10+F10)-SUM(E11:E15)-SUM(F11:F15)-E16))</f>
        <v>0</v>
      </c>
      <c r="F17" s="1107"/>
      <c r="G17" s="94">
        <f t="shared" ref="G17:M17" si="2">IF(G10=0,0,IF((G10-SUM(G11:G15))&lt;0,0,((G10-SUM(G11:G15)))))</f>
        <v>0</v>
      </c>
      <c r="H17" s="94">
        <f t="shared" si="2"/>
        <v>0</v>
      </c>
      <c r="I17" s="94">
        <f t="shared" si="2"/>
        <v>0</v>
      </c>
      <c r="J17" s="94">
        <f t="shared" si="2"/>
        <v>0</v>
      </c>
      <c r="K17" s="94">
        <f t="shared" si="2"/>
        <v>0</v>
      </c>
      <c r="L17" s="94">
        <f t="shared" si="2"/>
        <v>0</v>
      </c>
      <c r="M17" s="94">
        <f t="shared" si="2"/>
        <v>0</v>
      </c>
    </row>
    <row r="18" spans="1:13" x14ac:dyDescent="0.2">
      <c r="A18" s="85"/>
      <c r="B18" s="85"/>
      <c r="C18" s="85"/>
      <c r="D18" s="85"/>
      <c r="E18" s="85"/>
      <c r="F18" s="85"/>
      <c r="G18" s="85"/>
      <c r="H18" s="85"/>
      <c r="I18" s="85"/>
      <c r="J18" s="85"/>
      <c r="K18" s="85"/>
      <c r="L18" s="85"/>
      <c r="M18" s="85"/>
    </row>
    <row r="19" spans="1:13" x14ac:dyDescent="0.2">
      <c r="A19" s="85"/>
      <c r="B19" s="85"/>
      <c r="C19" s="85"/>
      <c r="D19" s="85"/>
      <c r="E19" s="439" t="s">
        <v>341</v>
      </c>
      <c r="F19" s="445" t="s">
        <v>342</v>
      </c>
      <c r="G19" s="445" t="s">
        <v>343</v>
      </c>
      <c r="H19" s="445" t="s">
        <v>344</v>
      </c>
      <c r="I19" s="439" t="s">
        <v>345</v>
      </c>
      <c r="J19" s="439" t="s">
        <v>378</v>
      </c>
      <c r="K19" s="439" t="s">
        <v>379</v>
      </c>
      <c r="L19" s="439" t="s">
        <v>380</v>
      </c>
      <c r="M19" s="85"/>
    </row>
    <row r="20" spans="1:13" x14ac:dyDescent="0.2">
      <c r="A20" s="1102" t="s">
        <v>122</v>
      </c>
      <c r="B20" s="1103"/>
      <c r="C20" s="1103"/>
      <c r="D20" s="1104"/>
      <c r="E20" s="440"/>
      <c r="F20" s="440"/>
      <c r="G20" s="440"/>
      <c r="H20" s="440"/>
      <c r="I20" s="440"/>
      <c r="J20" s="440"/>
      <c r="K20" s="440"/>
      <c r="L20" s="440"/>
      <c r="M20" s="85"/>
    </row>
    <row r="21" spans="1:13" x14ac:dyDescent="0.2">
      <c r="A21" s="1102" t="s">
        <v>123</v>
      </c>
      <c r="B21" s="1103"/>
      <c r="C21" s="1103"/>
      <c r="D21" s="1104"/>
      <c r="E21" s="440"/>
      <c r="F21" s="440"/>
      <c r="G21" s="440"/>
      <c r="H21" s="440"/>
      <c r="I21" s="440"/>
      <c r="J21" s="440"/>
      <c r="K21" s="440"/>
      <c r="L21" s="440"/>
      <c r="M21" s="85"/>
    </row>
    <row r="22" spans="1:13" x14ac:dyDescent="0.2">
      <c r="A22" s="1102" t="s">
        <v>124</v>
      </c>
      <c r="B22" s="1103"/>
      <c r="C22" s="1103"/>
      <c r="D22" s="1104"/>
      <c r="E22" s="440"/>
      <c r="F22" s="440"/>
      <c r="G22" s="440"/>
      <c r="H22" s="440"/>
      <c r="I22" s="440"/>
      <c r="J22" s="440"/>
      <c r="K22" s="440"/>
      <c r="L22" s="440"/>
      <c r="M22" s="85"/>
    </row>
    <row r="23" spans="1:13" x14ac:dyDescent="0.2">
      <c r="A23" s="1102" t="s">
        <v>125</v>
      </c>
      <c r="B23" s="1103"/>
      <c r="C23" s="1103"/>
      <c r="D23" s="1104"/>
      <c r="E23" s="440"/>
      <c r="F23" s="440"/>
      <c r="G23" s="440"/>
      <c r="H23" s="440"/>
      <c r="I23" s="440"/>
      <c r="J23" s="440"/>
      <c r="K23" s="440"/>
      <c r="L23" s="440"/>
      <c r="M23" s="85"/>
    </row>
    <row r="24" spans="1:13" x14ac:dyDescent="0.2">
      <c r="A24" s="1102" t="s">
        <v>126</v>
      </c>
      <c r="B24" s="1103"/>
      <c r="C24" s="1103"/>
      <c r="D24" s="1104"/>
      <c r="E24" s="440"/>
      <c r="F24" s="440"/>
      <c r="G24" s="440"/>
      <c r="H24" s="440"/>
      <c r="I24" s="440"/>
      <c r="J24" s="440"/>
      <c r="K24" s="440"/>
      <c r="L24" s="440"/>
      <c r="M24" s="85"/>
    </row>
    <row r="25" spans="1:13" x14ac:dyDescent="0.2">
      <c r="A25" s="1102" t="s">
        <v>127</v>
      </c>
      <c r="B25" s="1103"/>
      <c r="C25" s="1103"/>
      <c r="D25" s="1104"/>
      <c r="E25" s="440"/>
      <c r="F25" s="440"/>
      <c r="G25" s="440"/>
      <c r="H25" s="440"/>
      <c r="I25" s="440"/>
      <c r="J25" s="440"/>
      <c r="K25" s="440"/>
      <c r="L25" s="440"/>
      <c r="M25" s="85"/>
    </row>
    <row r="26" spans="1:13" x14ac:dyDescent="0.2">
      <c r="A26" s="1102" t="s">
        <v>128</v>
      </c>
      <c r="B26" s="1103"/>
      <c r="C26" s="1103"/>
      <c r="D26" s="1104"/>
      <c r="E26" s="440"/>
      <c r="F26" s="440"/>
      <c r="G26" s="440"/>
      <c r="H26" s="440"/>
      <c r="I26" s="440"/>
      <c r="J26" s="440"/>
      <c r="K26" s="440"/>
      <c r="L26" s="440"/>
      <c r="M26" s="85"/>
    </row>
    <row r="27" spans="1:13" x14ac:dyDescent="0.2">
      <c r="A27" s="1102" t="s">
        <v>129</v>
      </c>
      <c r="B27" s="1103"/>
      <c r="C27" s="1103"/>
      <c r="D27" s="1104"/>
      <c r="E27" s="440"/>
      <c r="F27" s="440"/>
      <c r="G27" s="440"/>
      <c r="H27" s="440"/>
      <c r="I27" s="440"/>
      <c r="J27" s="440"/>
      <c r="K27" s="440"/>
      <c r="L27" s="440"/>
      <c r="M27" s="85"/>
    </row>
    <row r="28" spans="1:13" ht="15" x14ac:dyDescent="0.25">
      <c r="A28" s="1008" t="s">
        <v>48</v>
      </c>
      <c r="B28" s="1105"/>
      <c r="C28" s="1105"/>
      <c r="D28" s="1009"/>
      <c r="E28" s="442">
        <f t="shared" ref="E28:L28" si="3">SUM(E20:E27)</f>
        <v>0</v>
      </c>
      <c r="F28" s="442">
        <f t="shared" si="3"/>
        <v>0</v>
      </c>
      <c r="G28" s="442">
        <f t="shared" si="3"/>
        <v>0</v>
      </c>
      <c r="H28" s="442">
        <f t="shared" si="3"/>
        <v>0</v>
      </c>
      <c r="I28" s="442">
        <f t="shared" si="3"/>
        <v>0</v>
      </c>
      <c r="J28" s="442">
        <f t="shared" si="3"/>
        <v>0</v>
      </c>
      <c r="K28" s="442">
        <f t="shared" si="3"/>
        <v>0</v>
      </c>
      <c r="L28" s="442">
        <f t="shared" si="3"/>
        <v>0</v>
      </c>
      <c r="M28" s="85"/>
    </row>
    <row r="29" spans="1:13" x14ac:dyDescent="0.2">
      <c r="A29" s="1102" t="s">
        <v>132</v>
      </c>
      <c r="B29" s="1103"/>
      <c r="C29" s="1103"/>
      <c r="D29" s="1104"/>
      <c r="E29" s="443">
        <f>IF(Datenblatt!L74&lt;18,3100,0)</f>
        <v>3100</v>
      </c>
      <c r="F29" s="443">
        <f>IF(Datenblatt!M74&lt;18,3100,0)</f>
        <v>3100</v>
      </c>
      <c r="G29" s="443">
        <f>IF(Datenblatt!N74&lt;18,3100,0)</f>
        <v>3100</v>
      </c>
      <c r="H29" s="443">
        <f>IF(Datenblatt!O74&lt;18,3100,0)</f>
        <v>3100</v>
      </c>
      <c r="I29" s="443">
        <f>IF(Datenblatt!P74&lt;18,3100,0)</f>
        <v>3100</v>
      </c>
      <c r="J29" s="443">
        <f>IF(Datenblatt!Q74&lt;18,3100,0)</f>
        <v>3100</v>
      </c>
      <c r="K29" s="443">
        <f>IF(Datenblatt!R74&lt;18,3100,0)</f>
        <v>3100</v>
      </c>
      <c r="L29" s="443">
        <f>IF(Datenblatt!S74&lt;18,3100,0)</f>
        <v>3100</v>
      </c>
      <c r="M29" s="85"/>
    </row>
    <row r="30" spans="1:13" x14ac:dyDescent="0.2">
      <c r="A30" s="1102" t="s">
        <v>133</v>
      </c>
      <c r="B30" s="1103"/>
      <c r="C30" s="1103"/>
      <c r="D30" s="1104"/>
      <c r="E30" s="440"/>
      <c r="F30" s="440"/>
      <c r="G30" s="440"/>
      <c r="H30" s="440"/>
      <c r="I30" s="440"/>
      <c r="J30" s="440"/>
      <c r="K30" s="440"/>
      <c r="L30" s="440"/>
      <c r="M30" s="85"/>
    </row>
    <row r="31" spans="1:13" x14ac:dyDescent="0.2">
      <c r="A31" s="1102" t="s">
        <v>134</v>
      </c>
      <c r="B31" s="1103"/>
      <c r="C31" s="1103"/>
      <c r="D31" s="1104"/>
      <c r="E31" s="440"/>
      <c r="F31" s="440"/>
      <c r="G31" s="440"/>
      <c r="H31" s="440"/>
      <c r="I31" s="440"/>
      <c r="J31" s="440"/>
      <c r="K31" s="440"/>
      <c r="L31" s="440"/>
      <c r="M31" s="85"/>
    </row>
    <row r="32" spans="1:13" x14ac:dyDescent="0.2">
      <c r="A32" s="1102" t="s">
        <v>135</v>
      </c>
      <c r="B32" s="1103"/>
      <c r="C32" s="1103"/>
      <c r="D32" s="1104"/>
      <c r="E32" s="443">
        <f>IF(E29=3100,0,IF((Datenblatt!L74*150)=0,0,IF((Datenblatt!L74*150)&lt;3100,3100,(Datenblatt!L74*150))))</f>
        <v>0</v>
      </c>
      <c r="F32" s="443">
        <f>IF(F29=3100,0,IF((Datenblatt!M74*150)=0,0,IF((Datenblatt!M74*150)&lt;3100,3100,(Datenblatt!M74*150))))</f>
        <v>0</v>
      </c>
      <c r="G32" s="443">
        <f>IF(G29=3100,0,IF((Datenblatt!N74*150)=0,0,IF((Datenblatt!N74*150)&lt;3100,3100,(Datenblatt!N74*150))))</f>
        <v>0</v>
      </c>
      <c r="H32" s="443">
        <f>IF(H29=3100,0,IF((Datenblatt!O74*150)=0,0,IF((Datenblatt!O74*150)&lt;3100,3100,(Datenblatt!O74*150))))</f>
        <v>0</v>
      </c>
      <c r="I32" s="443">
        <f>IF(I29=3100,0,IF((Datenblatt!P74*150)=0,0,IF((Datenblatt!P74*150)&lt;3100,3100,(Datenblatt!P74*150))))</f>
        <v>0</v>
      </c>
      <c r="J32" s="443">
        <f>IF(J29=3100,0,IF((Datenblatt!Q74*150)=0,0,IF((Datenblatt!Q74*150)&lt;3100,3100,(Datenblatt!Q74*150))))</f>
        <v>0</v>
      </c>
      <c r="K32" s="443">
        <f>IF(K29=3100,0,IF((Datenblatt!R74*150)=0,0,IF((Datenblatt!R74*150)&lt;3100,3100,(Datenblatt!R74*150))))</f>
        <v>0</v>
      </c>
      <c r="L32" s="443">
        <f>IF(L29=3100,0,IF((Datenblatt!S74*150)=0,0,IF((Datenblatt!S74*150)&lt;3100,3100,(Datenblatt!S74*150))))</f>
        <v>0</v>
      </c>
      <c r="M32" s="85"/>
    </row>
    <row r="33" spans="1:13" x14ac:dyDescent="0.2">
      <c r="A33" s="1102" t="s">
        <v>137</v>
      </c>
      <c r="B33" s="1103"/>
      <c r="C33" s="1103"/>
      <c r="D33" s="1104"/>
      <c r="E33" s="94">
        <f t="shared" ref="E33:L33" si="4">IF(E28=0,0,IF((E28-SUM(E29:E32))&lt;0,0,IF((E28-SUM(E29:E32))&gt;=750,750,(E28-SUM(E29:E32)))))</f>
        <v>0</v>
      </c>
      <c r="F33" s="94">
        <f t="shared" si="4"/>
        <v>0</v>
      </c>
      <c r="G33" s="94">
        <f t="shared" si="4"/>
        <v>0</v>
      </c>
      <c r="H33" s="94">
        <f t="shared" si="4"/>
        <v>0</v>
      </c>
      <c r="I33" s="94">
        <f t="shared" si="4"/>
        <v>0</v>
      </c>
      <c r="J33" s="94">
        <f t="shared" si="4"/>
        <v>0</v>
      </c>
      <c r="K33" s="94">
        <f t="shared" si="4"/>
        <v>0</v>
      </c>
      <c r="L33" s="94">
        <f t="shared" si="4"/>
        <v>0</v>
      </c>
      <c r="M33" s="85"/>
    </row>
    <row r="34" spans="1:13" x14ac:dyDescent="0.2">
      <c r="A34" s="969" t="s">
        <v>136</v>
      </c>
      <c r="B34" s="969"/>
      <c r="C34" s="969"/>
      <c r="D34" s="969"/>
      <c r="E34" s="94">
        <f t="shared" ref="E34:L34" si="5">IF(E28=0,0,IF((E28-SUM(E29:E33))&lt;0,0,((E28-SUM(E29:E33)))))</f>
        <v>0</v>
      </c>
      <c r="F34" s="94">
        <f t="shared" si="5"/>
        <v>0</v>
      </c>
      <c r="G34" s="94">
        <f t="shared" si="5"/>
        <v>0</v>
      </c>
      <c r="H34" s="94">
        <f t="shared" si="5"/>
        <v>0</v>
      </c>
      <c r="I34" s="94">
        <f t="shared" si="5"/>
        <v>0</v>
      </c>
      <c r="J34" s="94">
        <f t="shared" si="5"/>
        <v>0</v>
      </c>
      <c r="K34" s="94">
        <f t="shared" si="5"/>
        <v>0</v>
      </c>
      <c r="L34" s="94">
        <f t="shared" si="5"/>
        <v>0</v>
      </c>
      <c r="M34" s="85"/>
    </row>
    <row r="35" spans="1:13" x14ac:dyDescent="0.2">
      <c r="A35" s="422"/>
      <c r="B35" s="422"/>
      <c r="C35" s="422"/>
      <c r="D35" s="422"/>
      <c r="E35" s="422"/>
      <c r="F35" s="422"/>
      <c r="G35" s="422"/>
      <c r="H35" s="422"/>
      <c r="I35" s="422"/>
      <c r="J35" s="422"/>
      <c r="K35" s="433"/>
      <c r="L35" s="422"/>
      <c r="M35" s="422"/>
    </row>
    <row r="36" spans="1:13" x14ac:dyDescent="0.2">
      <c r="A36" s="422"/>
      <c r="B36" s="422"/>
      <c r="C36" s="422"/>
      <c r="D36" s="422"/>
      <c r="E36" s="422"/>
      <c r="F36" s="422"/>
      <c r="G36" s="422"/>
      <c r="H36" s="422"/>
      <c r="I36" s="422"/>
      <c r="J36" s="422"/>
      <c r="K36" s="422"/>
      <c r="L36" s="422"/>
      <c r="M36" s="422"/>
    </row>
    <row r="37" spans="1:13" x14ac:dyDescent="0.2">
      <c r="A37" s="422"/>
      <c r="B37" s="422"/>
      <c r="C37" s="422"/>
      <c r="D37" s="422"/>
      <c r="E37" s="422"/>
      <c r="F37" s="422"/>
      <c r="G37" s="422"/>
      <c r="H37" s="422"/>
      <c r="I37" s="422"/>
      <c r="J37" s="422"/>
      <c r="K37" s="422"/>
      <c r="L37" s="422"/>
      <c r="M37" s="422"/>
    </row>
    <row r="38" spans="1:13" x14ac:dyDescent="0.2">
      <c r="A38" s="422"/>
      <c r="B38" s="422"/>
      <c r="C38" s="422"/>
      <c r="D38" s="422"/>
      <c r="E38" s="422"/>
      <c r="F38" s="422"/>
      <c r="G38" s="422"/>
      <c r="H38" s="422"/>
      <c r="I38" s="422"/>
      <c r="J38" s="422"/>
      <c r="K38" s="422"/>
      <c r="L38" s="422"/>
      <c r="M38" s="422"/>
    </row>
    <row r="39" spans="1:13" x14ac:dyDescent="0.2">
      <c r="A39" s="422"/>
      <c r="B39" s="422"/>
      <c r="C39" s="422"/>
      <c r="D39" s="422"/>
      <c r="E39" s="422"/>
      <c r="F39" s="422"/>
      <c r="G39" s="422"/>
      <c r="H39" s="422"/>
      <c r="I39" s="422"/>
      <c r="J39" s="422"/>
      <c r="K39" s="422"/>
      <c r="L39" s="422"/>
      <c r="M39" s="422"/>
    </row>
    <row r="40" spans="1:13" x14ac:dyDescent="0.2">
      <c r="A40" s="422"/>
      <c r="B40" s="422"/>
      <c r="C40" s="422"/>
      <c r="D40" s="422"/>
      <c r="E40" s="422"/>
      <c r="F40" s="422"/>
      <c r="G40" s="422"/>
      <c r="H40" s="422"/>
      <c r="I40" s="422"/>
      <c r="J40" s="422"/>
      <c r="K40" s="422"/>
      <c r="L40" s="422"/>
      <c r="M40" s="422"/>
    </row>
    <row r="41" spans="1:13" x14ac:dyDescent="0.2">
      <c r="A41" s="422"/>
      <c r="B41" s="422"/>
      <c r="C41" s="422"/>
      <c r="D41" s="422"/>
      <c r="E41" s="422"/>
      <c r="F41" s="422"/>
      <c r="G41" s="422"/>
      <c r="H41" s="422"/>
      <c r="I41" s="422"/>
      <c r="J41" s="422"/>
      <c r="K41" s="422"/>
      <c r="L41" s="422"/>
      <c r="M41" s="422"/>
    </row>
    <row r="42" spans="1:13" x14ac:dyDescent="0.2">
      <c r="A42" s="422"/>
      <c r="B42" s="422"/>
      <c r="C42" s="422"/>
      <c r="D42" s="422"/>
      <c r="E42" s="422"/>
      <c r="F42" s="422"/>
      <c r="G42" s="422"/>
      <c r="H42" s="422"/>
      <c r="I42" s="422"/>
      <c r="J42" s="422"/>
      <c r="K42" s="422"/>
      <c r="L42" s="422"/>
      <c r="M42" s="422"/>
    </row>
    <row r="43" spans="1:13" x14ac:dyDescent="0.2">
      <c r="A43" s="422"/>
      <c r="B43" s="422"/>
      <c r="C43" s="422"/>
      <c r="D43" s="422"/>
      <c r="E43" s="422"/>
      <c r="F43" s="422"/>
      <c r="G43" s="422"/>
      <c r="H43" s="422"/>
      <c r="I43" s="422"/>
      <c r="J43" s="422"/>
      <c r="K43" s="422"/>
      <c r="L43" s="422"/>
      <c r="M43" s="422"/>
    </row>
    <row r="44" spans="1:13" x14ac:dyDescent="0.2">
      <c r="A44" s="422"/>
      <c r="B44" s="422"/>
      <c r="C44" s="422"/>
      <c r="D44" s="422"/>
      <c r="E44" s="422"/>
      <c r="F44" s="422"/>
      <c r="G44" s="422"/>
      <c r="H44" s="422"/>
      <c r="I44" s="422"/>
      <c r="J44" s="422"/>
      <c r="K44" s="422"/>
      <c r="L44" s="422"/>
      <c r="M44" s="422"/>
    </row>
    <row r="45" spans="1:13" x14ac:dyDescent="0.2">
      <c r="A45" s="173"/>
      <c r="B45" s="173"/>
      <c r="C45" s="173"/>
      <c r="D45" s="173"/>
    </row>
    <row r="46" spans="1:13" x14ac:dyDescent="0.2">
      <c r="A46" s="1101"/>
      <c r="B46" s="1101"/>
      <c r="C46" s="1101"/>
      <c r="D46" s="1101"/>
    </row>
    <row r="47" spans="1:13" x14ac:dyDescent="0.2">
      <c r="A47" s="173"/>
      <c r="B47" s="173"/>
      <c r="C47" s="173"/>
      <c r="D47" s="173"/>
    </row>
    <row r="48" spans="1:13" x14ac:dyDescent="0.2">
      <c r="A48" s="173"/>
      <c r="B48" s="173"/>
      <c r="C48" s="173"/>
      <c r="D48" s="173"/>
    </row>
    <row r="49" spans="1:4" x14ac:dyDescent="0.2">
      <c r="A49" s="173"/>
      <c r="B49" s="173"/>
      <c r="C49" s="173"/>
      <c r="D49" s="173"/>
    </row>
    <row r="50" spans="1:4" x14ac:dyDescent="0.2">
      <c r="A50" s="173"/>
      <c r="B50" s="173"/>
      <c r="C50" s="173"/>
      <c r="D50" s="173"/>
    </row>
    <row r="51" spans="1:4" x14ac:dyDescent="0.2">
      <c r="A51" s="173"/>
      <c r="B51" s="173"/>
      <c r="C51" s="173"/>
      <c r="D51" s="173"/>
    </row>
    <row r="52" spans="1:4" x14ac:dyDescent="0.2">
      <c r="A52" s="173"/>
      <c r="B52" s="173"/>
      <c r="C52" s="173"/>
      <c r="D52" s="173"/>
    </row>
    <row r="53" spans="1:4" ht="15" customHeight="1" x14ac:dyDescent="0.2">
      <c r="A53" s="173"/>
      <c r="B53" s="173"/>
      <c r="C53" s="173"/>
      <c r="D53" s="173"/>
    </row>
    <row r="54" spans="1:4" x14ac:dyDescent="0.2">
      <c r="A54" s="173"/>
      <c r="B54" s="173"/>
      <c r="C54" s="173"/>
      <c r="D54" s="173"/>
    </row>
    <row r="55" spans="1:4" x14ac:dyDescent="0.2">
      <c r="A55" s="173"/>
      <c r="B55" s="173"/>
      <c r="C55" s="173"/>
      <c r="D55" s="173"/>
    </row>
    <row r="56" spans="1:4" x14ac:dyDescent="0.2">
      <c r="A56" s="173"/>
      <c r="B56" s="173"/>
      <c r="C56" s="173"/>
      <c r="D56" s="173"/>
    </row>
    <row r="57" spans="1:4" x14ac:dyDescent="0.2">
      <c r="A57" s="173"/>
      <c r="B57" s="173"/>
      <c r="C57" s="173"/>
      <c r="D57" s="173"/>
    </row>
    <row r="58" spans="1:4" x14ac:dyDescent="0.2">
      <c r="A58" s="173"/>
      <c r="B58" s="173"/>
      <c r="C58" s="173"/>
      <c r="D58" s="173"/>
    </row>
    <row r="59" spans="1:4" x14ac:dyDescent="0.2">
      <c r="A59" s="173"/>
      <c r="B59" s="173"/>
      <c r="C59" s="173"/>
      <c r="D59" s="173"/>
    </row>
    <row r="60" spans="1:4" x14ac:dyDescent="0.2">
      <c r="A60" s="173"/>
      <c r="B60" s="173"/>
      <c r="C60" s="173"/>
      <c r="D60" s="173"/>
    </row>
    <row r="61" spans="1:4" x14ac:dyDescent="0.2">
      <c r="A61" s="173"/>
      <c r="B61" s="173"/>
      <c r="C61" s="173"/>
      <c r="D61" s="173"/>
    </row>
    <row r="64" spans="1:4" x14ac:dyDescent="0.2">
      <c r="B64" s="135"/>
    </row>
  </sheetData>
  <sheetProtection algorithmName="SHA-512" hashValue="WHJrxjmC1bpYah6JIRd3BGdEMUA6MW4RGwOMaHQ9Mq3mSkGj1qucPC9wJQFYgRrHpB2aV3Z2yINkrvZc+aayXA==" saltValue="G765V/WLj9hpjrcb+ptC4g==" spinCount="100000" sheet="1" formatCells="0" formatColumns="0" formatRows="0" insertColumns="0" insertRows="0" insertHyperlinks="0" deleteColumns="0" deleteRows="0" sort="0" pivotTables="0"/>
  <mergeCells count="34">
    <mergeCell ref="A30:D30"/>
    <mergeCell ref="E16:F16"/>
    <mergeCell ref="E17:F17"/>
    <mergeCell ref="A26:D26"/>
    <mergeCell ref="A27:D27"/>
    <mergeCell ref="A28:D28"/>
    <mergeCell ref="A29:D29"/>
    <mergeCell ref="A2:D2"/>
    <mergeCell ref="A17:D17"/>
    <mergeCell ref="A20:D20"/>
    <mergeCell ref="A24:D24"/>
    <mergeCell ref="A25:D25"/>
    <mergeCell ref="A8:D8"/>
    <mergeCell ref="A3:D3"/>
    <mergeCell ref="A4:D4"/>
    <mergeCell ref="A5:D5"/>
    <mergeCell ref="A6:D6"/>
    <mergeCell ref="A7:D7"/>
    <mergeCell ref="A46:D46"/>
    <mergeCell ref="A34:D34"/>
    <mergeCell ref="A9:D9"/>
    <mergeCell ref="A10:D10"/>
    <mergeCell ref="A21:D21"/>
    <mergeCell ref="A22:D22"/>
    <mergeCell ref="A23:D23"/>
    <mergeCell ref="A11:D11"/>
    <mergeCell ref="A12:D12"/>
    <mergeCell ref="A13:D13"/>
    <mergeCell ref="A14:D14"/>
    <mergeCell ref="A16:D16"/>
    <mergeCell ref="A15:D15"/>
    <mergeCell ref="A31:D31"/>
    <mergeCell ref="A32:D32"/>
    <mergeCell ref="A33:D33"/>
  </mergeCells>
  <dataValidations count="1">
    <dataValidation type="decimal" allowBlank="1" showInputMessage="1" showErrorMessage="1" error="Der eingegebene Wert ist unzulässig. Bitte geben Sie eine Zahl ein, die größer 0 ist." sqref="E12:M13 E30:L31 E2:M9 E20:L27" xr:uid="{00000000-0002-0000-1600-000000000000}">
      <formula1>0</formula1>
      <formula2>1000000</formula2>
    </dataValidation>
  </dataValidations>
  <pageMargins left="0.70866141732283472" right="0.70866141732283472" top="0.78740157480314965" bottom="0.78740157480314965" header="0.31496062992125984" footer="0.31496062992125984"/>
  <pageSetup paperSize="9" scale="80" orientation="landscape" r:id="rId1"/>
  <headerFooter>
    <oddHeader xml:space="preserve">&amp;L&amp;"Arial,Fett"&amp;U6. Anzurechnendes Vermögen:&amp;R&amp;D
</oddHeader>
    <oddFooter>&amp;R&amp;P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3"/>
  <dimension ref="A1:AA106"/>
  <sheetViews>
    <sheetView showGridLines="0" zoomScaleNormal="100" workbookViewId="0">
      <selection activeCell="C6" sqref="C6"/>
    </sheetView>
  </sheetViews>
  <sheetFormatPr baseColWidth="10" defaultRowHeight="14.25" x14ac:dyDescent="0.2"/>
  <cols>
    <col min="1" max="2" width="11" style="1"/>
    <col min="3" max="3" width="11.375" style="1" bestFit="1" customWidth="1"/>
    <col min="4" max="16384" width="11" style="1"/>
  </cols>
  <sheetData>
    <row r="1" spans="1:27" ht="15" x14ac:dyDescent="0.25">
      <c r="A1" s="65" t="s">
        <v>200</v>
      </c>
      <c r="B1" s="85"/>
      <c r="C1" s="85"/>
      <c r="D1" s="85"/>
      <c r="E1" s="85"/>
      <c r="F1" s="85"/>
      <c r="G1" s="85"/>
      <c r="H1" s="85"/>
      <c r="I1" s="85"/>
      <c r="J1" s="85"/>
      <c r="K1" s="85"/>
      <c r="L1" s="85"/>
      <c r="M1" s="85"/>
      <c r="N1" s="438" t="s">
        <v>180</v>
      </c>
      <c r="O1" s="85"/>
      <c r="P1" s="85"/>
      <c r="Q1" s="85"/>
      <c r="R1" s="85"/>
      <c r="S1" s="85"/>
      <c r="T1" s="85"/>
      <c r="U1" s="85"/>
      <c r="V1" s="85"/>
      <c r="W1" s="85"/>
      <c r="X1" s="85"/>
      <c r="Y1" s="85"/>
      <c r="Z1" s="85"/>
      <c r="AA1" s="2"/>
    </row>
    <row r="2" spans="1:27" x14ac:dyDescent="0.2">
      <c r="A2" s="85"/>
      <c r="B2" s="85"/>
      <c r="C2" s="439" t="s">
        <v>142</v>
      </c>
      <c r="D2" s="439" t="str">
        <f>IF(BG!D8="bitte auswählen"," ",IF(BG!D8="mit Partner","Partner/in",IF(BG!D8="alleinerziehend"," ",IF(BG!D8="verheiratet","Ehegatte"))))</f>
        <v xml:space="preserve"> </v>
      </c>
      <c r="E2" s="439" t="s">
        <v>13</v>
      </c>
      <c r="F2" s="439" t="s">
        <v>14</v>
      </c>
      <c r="G2" s="439" t="s">
        <v>15</v>
      </c>
      <c r="H2" s="439" t="s">
        <v>16</v>
      </c>
      <c r="I2" s="439" t="s">
        <v>17</v>
      </c>
      <c r="J2" s="439" t="s">
        <v>18</v>
      </c>
      <c r="K2" s="439" t="s">
        <v>340</v>
      </c>
      <c r="L2" s="439" t="s">
        <v>341</v>
      </c>
      <c r="M2" s="446" t="s">
        <v>342</v>
      </c>
      <c r="N2" s="85"/>
      <c r="O2" s="85"/>
      <c r="P2" s="439" t="s">
        <v>142</v>
      </c>
      <c r="Q2" s="439" t="str">
        <f>IF(BG!D8="bitte auswählen"," ",IF(BG!D8="mit Partner","Partner/in",IF(BG!D8="alleinerziehend"," ",IF(BG!D8="verheiratet","Ehegatte"))))</f>
        <v xml:space="preserve"> </v>
      </c>
      <c r="R2" s="439" t="s">
        <v>13</v>
      </c>
      <c r="S2" s="439" t="s">
        <v>14</v>
      </c>
      <c r="T2" s="439" t="s">
        <v>15</v>
      </c>
      <c r="U2" s="439" t="s">
        <v>16</v>
      </c>
      <c r="V2" s="439" t="s">
        <v>17</v>
      </c>
      <c r="W2" s="439" t="s">
        <v>18</v>
      </c>
      <c r="X2" s="439" t="s">
        <v>340</v>
      </c>
      <c r="Y2" s="439" t="s">
        <v>341</v>
      </c>
      <c r="Z2" s="439" t="s">
        <v>342</v>
      </c>
      <c r="AA2" s="2"/>
    </row>
    <row r="3" spans="1:27" x14ac:dyDescent="0.2">
      <c r="A3" s="969" t="s">
        <v>143</v>
      </c>
      <c r="B3" s="969"/>
      <c r="C3" s="447"/>
      <c r="D3" s="448"/>
      <c r="E3" s="448"/>
      <c r="F3" s="448"/>
      <c r="G3" s="448"/>
      <c r="H3" s="448"/>
      <c r="I3" s="448"/>
      <c r="J3" s="449"/>
      <c r="K3" s="450"/>
      <c r="L3" s="451"/>
      <c r="M3" s="419"/>
      <c r="N3" s="1159" t="s">
        <v>181</v>
      </c>
      <c r="O3" s="1159"/>
      <c r="P3" s="498" t="s">
        <v>185</v>
      </c>
      <c r="Q3" s="498" t="s">
        <v>185</v>
      </c>
      <c r="R3" s="498" t="s">
        <v>185</v>
      </c>
      <c r="S3" s="498" t="s">
        <v>185</v>
      </c>
      <c r="T3" s="498" t="s">
        <v>185</v>
      </c>
      <c r="U3" s="498" t="s">
        <v>185</v>
      </c>
      <c r="V3" s="498" t="s">
        <v>185</v>
      </c>
      <c r="W3" s="498" t="s">
        <v>185</v>
      </c>
      <c r="X3" s="498" t="s">
        <v>185</v>
      </c>
      <c r="Y3" s="498" t="s">
        <v>185</v>
      </c>
      <c r="Z3" s="498" t="s">
        <v>185</v>
      </c>
    </row>
    <row r="4" spans="1:27" x14ac:dyDescent="0.2">
      <c r="A4" s="1152" t="s">
        <v>144</v>
      </c>
      <c r="B4" s="1152"/>
      <c r="C4" s="444" t="str">
        <f>IF(P3="."," ",IF(P3="kein Anspruch"," ",IF(AND(P3="Anspruch",P5=ISBLANK(0)),"VET?",Datenblatt!B43)))</f>
        <v xml:space="preserve"> </v>
      </c>
      <c r="D4" s="443" t="str">
        <f>IF(Q3="."," ",IF(Q3="kein Anspruch"," ",IF(AND(Q3="Anspruch",Q5=ISBLANK(0)),"VET?",Datenblatt!C43)))</f>
        <v xml:space="preserve"> </v>
      </c>
      <c r="E4" s="443" t="str">
        <f>IF(R3="."," ",IF(R3="kein Anspruch"," ",IF(AND(R3="Anspruch",R5=ISBLANK(0)),"VET?",Datenblatt!D43)))</f>
        <v xml:space="preserve"> </v>
      </c>
      <c r="F4" s="443" t="str">
        <f>IF(S3="."," ",IF(S3="kein Anspruch"," ",IF(AND(S3="Anspruch",S5=ISBLANK(0)),"VET?",Datenblatt!E43)))</f>
        <v xml:space="preserve"> </v>
      </c>
      <c r="G4" s="443" t="str">
        <f>IF(T3="."," ",IF(T3="kein Anspruch"," ",IF(AND(T3="Anspruch",T5=ISBLANK(0)),"VET?",Datenblatt!F43)))</f>
        <v xml:space="preserve"> </v>
      </c>
      <c r="H4" s="443" t="str">
        <f>IF(U3="."," ",IF(U3="kein Anspruch"," ",IF(AND(U3="Anspruch",U5=ISBLANK(0)),"VET?",Datenblatt!G43)))</f>
        <v xml:space="preserve"> </v>
      </c>
      <c r="I4" s="443" t="str">
        <f>IF(V3="."," ",IF(V3="kein Anspruch"," ",IF(AND(V3="Anspruch",V5=ISBLANK(0)),"VET?",Datenblatt!H43)))</f>
        <v xml:space="preserve"> </v>
      </c>
      <c r="J4" s="443" t="str">
        <f>IF(W3="."," ",IF(W3="kein Anspruch"," ",IF(AND(W3="Anspruch",W5=ISBLANK(0)),"VET?",Datenblatt!I43)))</f>
        <v xml:space="preserve"> </v>
      </c>
      <c r="K4" s="94" t="str">
        <f>IF(X3="."," ",IF(X3="kein Anspruch"," ",IF(AND(X3="Anspruch",X5=ISBLANK(0)),"VET?",Datenblatt!J43)))</f>
        <v xml:space="preserve"> </v>
      </c>
      <c r="L4" s="94" t="str">
        <f>IF(Y3="."," ",IF(Y3="kein Anspruch"," ",IF(AND(Y3="Anspruch",Y5=ISBLANK(0)),"VET?",Datenblatt!K43)))</f>
        <v xml:space="preserve"> </v>
      </c>
      <c r="M4" s="94" t="str">
        <f>IF(Z3="."," ",IF(Z3="kein Anspruch"," ",IF(AND(Z3="Anspruch",Z5=ISBLANK(0)),"VET?",Datenblatt!L43)))</f>
        <v xml:space="preserve"> </v>
      </c>
      <c r="N4" s="1156" t="s">
        <v>458</v>
      </c>
      <c r="O4" s="1157"/>
      <c r="P4" s="499" t="str">
        <f>IF(P5=""," ",Datenblatt!B41)</f>
        <v xml:space="preserve"> </v>
      </c>
      <c r="Q4" s="499" t="str">
        <f>IF(Q5=""," ",Datenblatt!C41)</f>
        <v xml:space="preserve"> </v>
      </c>
      <c r="R4" s="499" t="str">
        <f>IF(R5=""," ",Datenblatt!D41)</f>
        <v xml:space="preserve"> </v>
      </c>
      <c r="S4" s="499" t="str">
        <f>IF(S5=""," ",Datenblatt!E41)</f>
        <v xml:space="preserve"> </v>
      </c>
      <c r="T4" s="499" t="str">
        <f>IF(T5=""," ",Datenblatt!F41)</f>
        <v xml:space="preserve"> </v>
      </c>
      <c r="U4" s="499" t="str">
        <f>IF(U5=""," ",Datenblatt!G41)</f>
        <v xml:space="preserve"> </v>
      </c>
      <c r="V4" s="499" t="str">
        <f>IF(V5=""," ",Datenblatt!H41)</f>
        <v xml:space="preserve"> </v>
      </c>
      <c r="W4" s="499" t="str">
        <f>IF(W5=""," ",Datenblatt!I41)</f>
        <v xml:space="preserve"> </v>
      </c>
      <c r="X4" s="499" t="str">
        <f>IF(X5=""," ",Datenblatt!J41)</f>
        <v xml:space="preserve"> </v>
      </c>
      <c r="Y4" s="499" t="str">
        <f>IF(Y5=""," ",Datenblatt!K41)</f>
        <v xml:space="preserve"> </v>
      </c>
      <c r="Z4" s="499" t="str">
        <f>IF(Z5=""," ",Datenblatt!L41)</f>
        <v xml:space="preserve"> </v>
      </c>
    </row>
    <row r="5" spans="1:27" x14ac:dyDescent="0.2">
      <c r="A5" s="1145" t="s">
        <v>145</v>
      </c>
      <c r="B5" s="1145"/>
      <c r="C5" s="452" t="str">
        <f>IF(BG!D8="mit Partner",0,IF(BG!D8="verheiratet",0,IF(C6&gt;0,0,Datenblatt!B39)))</f>
        <v xml:space="preserve"> </v>
      </c>
      <c r="D5" s="453"/>
      <c r="E5" s="453"/>
      <c r="F5" s="453"/>
      <c r="G5" s="453"/>
      <c r="H5" s="453"/>
      <c r="I5" s="453"/>
      <c r="J5" s="453"/>
      <c r="K5" s="454"/>
      <c r="L5" s="454"/>
      <c r="M5" s="454"/>
      <c r="N5" s="1139" t="s">
        <v>192</v>
      </c>
      <c r="O5" s="1139"/>
      <c r="P5" s="500"/>
      <c r="Q5" s="500"/>
      <c r="R5" s="500"/>
      <c r="S5" s="501"/>
      <c r="T5" s="501"/>
      <c r="U5" s="501"/>
      <c r="V5" s="501"/>
      <c r="W5" s="501"/>
      <c r="X5" s="501"/>
      <c r="Y5" s="501"/>
      <c r="Z5" s="501"/>
    </row>
    <row r="6" spans="1:27" x14ac:dyDescent="0.2">
      <c r="A6" s="1158" t="s">
        <v>231</v>
      </c>
      <c r="B6" s="1153"/>
      <c r="C6" s="455"/>
      <c r="D6" s="456"/>
      <c r="E6" s="456"/>
      <c r="F6" s="456"/>
      <c r="G6" s="456"/>
      <c r="H6" s="456"/>
      <c r="I6" s="456"/>
      <c r="J6" s="456"/>
      <c r="K6" s="457"/>
      <c r="L6" s="457"/>
      <c r="M6" s="457"/>
      <c r="N6" s="1164" t="s">
        <v>182</v>
      </c>
      <c r="O6" s="1164"/>
      <c r="P6" s="1165" t="s">
        <v>185</v>
      </c>
      <c r="Q6" s="1166"/>
      <c r="R6" s="1093"/>
      <c r="S6" s="982"/>
      <c r="T6" s="502"/>
      <c r="U6" s="982"/>
      <c r="V6" s="982"/>
      <c r="W6" s="291"/>
      <c r="X6" s="85"/>
      <c r="Y6" s="85"/>
      <c r="Z6" s="85"/>
    </row>
    <row r="7" spans="1:27" x14ac:dyDescent="0.2">
      <c r="A7" s="1152" t="s">
        <v>146</v>
      </c>
      <c r="B7" s="1152"/>
      <c r="C7" s="443" t="str">
        <f>IF(P8="."," ",IF(P8="kein Anspruch"," ",IF(P8="Anspruch",Datenblatt!B44*35%)))</f>
        <v xml:space="preserve"> </v>
      </c>
      <c r="D7" s="443" t="str">
        <f>IF(Q8="."," ",IF(Q8="kein Anspruch"," ",IF(Q8="Anspruch",(D12+D13)*35%)))</f>
        <v xml:space="preserve"> </v>
      </c>
      <c r="E7" s="443" t="str">
        <f>IF(R8="."," ",IF(R8="kein Anspruch"," ",IF(R8="Anspruch",Datenblatt!D44*35%)))</f>
        <v xml:space="preserve"> </v>
      </c>
      <c r="F7" s="443" t="str">
        <f>IF(S8="."," ",IF(S8="kein Anspruch"," ",IF(S8="Anspruch",Datenblatt!E44*35%)))</f>
        <v xml:space="preserve"> </v>
      </c>
      <c r="G7" s="443" t="str">
        <f>IF(T8="."," ",IF(T8="kein Anspruch"," ",IF(T8="Anspruch",Datenblatt!F44*35%)))</f>
        <v xml:space="preserve"> </v>
      </c>
      <c r="H7" s="443" t="str">
        <f>IF(U8="."," ",IF(U8="kein Anspruch"," ",IF(U8="Anspruch",Datenblatt!G44*35%)))</f>
        <v xml:space="preserve"> </v>
      </c>
      <c r="I7" s="443" t="str">
        <f>IF(V8="."," ",IF(V8="kein Anspruch"," ",IF(V8="Anspruch",Datenblatt!H44*35%)))</f>
        <v xml:space="preserve"> </v>
      </c>
      <c r="J7" s="443" t="str">
        <f>IF(W8="."," ",IF(W8="kein Anspruch"," ",IF(W8="Anspruch",Datenblatt!I44*35%)))</f>
        <v xml:space="preserve"> </v>
      </c>
      <c r="K7" s="94" t="str">
        <f>IF(X8="."," ",IF(X8="kein Anspruch"," ",IF(X8="Anspruch",Datenblatt!I44*35%)))</f>
        <v xml:space="preserve"> </v>
      </c>
      <c r="L7" s="94" t="str">
        <f>IF(Y8="."," ",IF(Y8="kein Anspruch"," ",IF(Y8="Anspruch",Datenblatt!J44*35%)))</f>
        <v xml:space="preserve"> </v>
      </c>
      <c r="M7" s="94" t="str">
        <f>IF(Z8="."," ",IF(Z8="kein Anspruch"," ",IF(Z8="Anspruch",Datenblatt!K44*35%)))</f>
        <v xml:space="preserve"> </v>
      </c>
      <c r="N7" s="1034"/>
      <c r="O7" s="1035"/>
      <c r="P7" s="1154"/>
      <c r="Q7" s="1155"/>
      <c r="R7" s="503"/>
      <c r="S7" s="86"/>
      <c r="T7" s="504"/>
      <c r="U7" s="86"/>
      <c r="V7" s="86"/>
      <c r="W7" s="505"/>
      <c r="X7" s="85"/>
      <c r="Y7" s="85"/>
      <c r="Z7" s="85"/>
    </row>
    <row r="8" spans="1:27" x14ac:dyDescent="0.2">
      <c r="A8" s="1152" t="s">
        <v>147</v>
      </c>
      <c r="B8" s="1152"/>
      <c r="C8" s="443" t="str">
        <f>IF(P10="5 %.",Datenblatt!$B$5*5%,IF(P10="10 %.",Datenblatt!$B$5*10%,IF(P10="15 %.",Datenblatt!$B$5*15%,IF(P10="20 %.",Datenblatt!$B$5*20%,IF(P10="25 %.",Datenblatt!$B$5*25%,IF(P10="30 %.",Datenblatt!$B$5*30%,IF(P10="35 %.",Datenblatt!$B$5*35%," ")))))))</f>
        <v xml:space="preserve"> </v>
      </c>
      <c r="D8" s="443" t="str">
        <f>IF(Q10="5 %.",Datenblatt!$B$5*5%,IF(Q10="10 %.",Datenblatt!$B$5*10%,IF(Q10="15 %.",Datenblatt!$B$5*15%,IF(Q10="20 %.",Datenblatt!$B$5*20%,IF(Q10="25 %.",Datenblatt!$B$5*25%,IF(Q10="30 %.",Datenblatt!$B$5*30%,IF(Q10="35 %.",Datenblatt!$B$5*35%," ")))))))</f>
        <v xml:space="preserve"> </v>
      </c>
      <c r="E8" s="443" t="str">
        <f>IF(R10="5 %.",Datenblatt!$B$5*5%,IF(R10="10 %.",Datenblatt!$B$5*10%,IF(R10="15 %.",Datenblatt!$B$5*15%,IF(R10="20 %.",Datenblatt!$B$5*20%,IF(R10="25 %.",Datenblatt!$B$5*25%,IF(R10="30 %.",Datenblatt!$B$5*30%,IF(R10="35 %.",Datenblatt!$B$5*35%," ")))))))</f>
        <v xml:space="preserve"> </v>
      </c>
      <c r="F8" s="443" t="str">
        <f>IF(S10="5 %.",Datenblatt!$B$5*5%,IF(S10="10 %.",Datenblatt!$B$5*10%,IF(S10="15 %.",Datenblatt!$B$5*15%,IF(S10="20 %.",Datenblatt!$B$5*20%,IF(S10="25 %.",Datenblatt!$B$5*25%,IF(S10="30 %.",Datenblatt!$B$5*30%,IF(S10="35 %.",Datenblatt!$B$5*35%," ")))))))</f>
        <v xml:space="preserve"> </v>
      </c>
      <c r="G8" s="443" t="str">
        <f>IF(T10="5 %.",Datenblatt!$B$5*5%,IF(T10="10 %.",Datenblatt!$B$5*10%,IF(T10="15 %.",Datenblatt!$B$5*15%,IF(T10="20 %.",Datenblatt!$B$5*20%,IF(T10="25 %.",Datenblatt!$B$5*25%,IF(T10="30 %.",Datenblatt!$B$5*30%,IF(T10="35 %.",Datenblatt!$B$5*35%," ")))))))</f>
        <v xml:space="preserve"> </v>
      </c>
      <c r="H8" s="443" t="str">
        <f>IF(U10="5 %.",Datenblatt!$B$5*5%,IF(U10="10 %.",Datenblatt!$B$5*10%,IF(U10="15 %.",Datenblatt!$B$5*15%,IF(U10="20 %.",Datenblatt!$B$5*20%,IF(U10="25 %.",Datenblatt!$B$5*25%,IF(U10="30 %.",Datenblatt!$B$5*30%,IF(U10="35 %.",Datenblatt!$B$5*35%," ")))))))</f>
        <v xml:space="preserve"> </v>
      </c>
      <c r="I8" s="443" t="str">
        <f>IF(V10="5 %.",Datenblatt!$B$5*5%,IF(V10="10 %.",Datenblatt!$B$5*10%,IF(V10="15 %.",Datenblatt!$B$5*15%,IF(V10="20 %.",Datenblatt!$B$5*20%,IF(V10="25 %.",Datenblatt!$B$5*25%,IF(V10="30 %.",Datenblatt!$B$5*30%,IF(V10="35 %.",Datenblatt!$B$5*35%," ")))))))</f>
        <v xml:space="preserve"> </v>
      </c>
      <c r="J8" s="443" t="str">
        <f>IF(W10="5 %.",Datenblatt!$B$5*5%,IF(W10="10 %.",Datenblatt!$B$5*10%,IF(W10="15 %.",Datenblatt!$B$5*15%,IF(W10="20 %.",Datenblatt!$B$5*20%,IF(W10="25 %.",Datenblatt!$B$5*25%,IF(W10="30 %.",Datenblatt!$B$5*30%,IF(W10="35 %.",Datenblatt!$B$5*35%," ")))))))</f>
        <v xml:space="preserve"> </v>
      </c>
      <c r="K8" s="443" t="str">
        <f>IF(X10="5 %.",Datenblatt!$B$5*5%,IF(X10="10 %.",Datenblatt!$B$5*10%,IF(X10="15 %.",Datenblatt!$B$5*15%,IF(X10="20 %.",Datenblatt!$B$5*20%,IF(X10="25 %.",Datenblatt!$B$5*25%,IF(X10="30 %.",Datenblatt!$B$5*30%,IF(X10="35 %.",Datenblatt!$B$5*35%," ")))))))</f>
        <v xml:space="preserve"> </v>
      </c>
      <c r="L8" s="443" t="str">
        <f>IF(Y10="5 %.",Datenblatt!$B$5*5%,IF(Y10="10 %.",Datenblatt!$B$5*10%,IF(Y10="15 %.",Datenblatt!$B$5*15%,IF(Y10="20 %.",Datenblatt!$B$5*20%,IF(Y10="25 %.",Datenblatt!$B$5*25%,IF(Y10="30 %.",Datenblatt!$B$5*30%,IF(Y10="35 %.",Datenblatt!$B$5*35%," ")))))))</f>
        <v xml:space="preserve"> </v>
      </c>
      <c r="M8" s="443" t="str">
        <f>IF(Z10="5 %.",Datenblatt!$B$5*5%,IF(Z10="10 %.",Datenblatt!$B$5*10%,IF(Z10="15 %.",Datenblatt!$B$5*15%,IF(Z10="20 %.",Datenblatt!$B$5*20%,IF(Z10="25 %.",Datenblatt!$B$5*25%,IF(Z10="30 %.",Datenblatt!$B$5*30%,IF(Z10="35 %.",Datenblatt!$B$5*35%," ")))))))</f>
        <v xml:space="preserve"> </v>
      </c>
      <c r="N8" s="1144" t="s">
        <v>183</v>
      </c>
      <c r="O8" s="1144"/>
      <c r="P8" s="498" t="s">
        <v>185</v>
      </c>
      <c r="Q8" s="498" t="s">
        <v>185</v>
      </c>
      <c r="R8" s="498" t="s">
        <v>185</v>
      </c>
      <c r="S8" s="498" t="s">
        <v>185</v>
      </c>
      <c r="T8" s="498" t="s">
        <v>185</v>
      </c>
      <c r="U8" s="498" t="s">
        <v>185</v>
      </c>
      <c r="V8" s="498" t="s">
        <v>185</v>
      </c>
      <c r="W8" s="498" t="s">
        <v>185</v>
      </c>
      <c r="X8" s="498" t="s">
        <v>185</v>
      </c>
      <c r="Y8" s="498" t="s">
        <v>185</v>
      </c>
      <c r="Z8" s="498" t="s">
        <v>185</v>
      </c>
    </row>
    <row r="9" spans="1:27" x14ac:dyDescent="0.2">
      <c r="A9" s="1152" t="s">
        <v>148</v>
      </c>
      <c r="B9" s="1152"/>
      <c r="C9" s="443" t="str">
        <f>IF(P11="."," ",IF(P11="kein Anspruch"," ",IF(P11="Anspruch",Datenblatt!B44*17%)))</f>
        <v xml:space="preserve"> </v>
      </c>
      <c r="D9" s="443" t="str">
        <f>IF(Q11="."," ",IF(Q11="kein Anspruch"," ",IF(Q11="Anspruch",(D12+D13)*17%)))</f>
        <v xml:space="preserve"> </v>
      </c>
      <c r="E9" s="443" t="str">
        <f>IF(R11="."," ",IF(R11="kein Anspruch"," ",IF(R11="Anspruch",Datenblatt!D44*17%)))</f>
        <v xml:space="preserve"> </v>
      </c>
      <c r="F9" s="443" t="str">
        <f>IF(S11="."," ",IF(S11="kein Anspruch"," ",IF(S11="Anspruch",Datenblatt!E44*17%)))</f>
        <v xml:space="preserve"> </v>
      </c>
      <c r="G9" s="443" t="str">
        <f>IF(T11="."," ",IF(T11="kein Anspruch"," ",IF(T11="Anspruch",Datenblatt!F44*17%)))</f>
        <v xml:space="preserve"> </v>
      </c>
      <c r="H9" s="443" t="str">
        <f>IF(U11="."," ",IF(U11="kein Anspruch"," ",IF(U11="Anspruch",Datenblatt!G44*17%)))</f>
        <v xml:space="preserve"> </v>
      </c>
      <c r="I9" s="443" t="str">
        <f>IF(V11="."," ",IF(V11="kein Anspruch"," ",IF(V11="Anspruch",Datenblatt!H44*17%)))</f>
        <v xml:space="preserve"> </v>
      </c>
      <c r="J9" s="443" t="str">
        <f>IF(W11="."," ",IF(W11="kein Anspruch"," ",IF(W11="Anspruch",Datenblatt!I44*17%)))</f>
        <v xml:space="preserve"> </v>
      </c>
      <c r="K9" s="94" t="str">
        <f>IF(X11="."," ",IF(X11="kein Anspruch"," ",IF(X11="Anspruch",Datenblatt!J44*17%)))</f>
        <v xml:space="preserve"> </v>
      </c>
      <c r="L9" s="94" t="str">
        <f>IF(Y11="."," ",IF(Y11="kein Anspruch"," ",IF(Y11="Anspruch",Datenblatt!K44*17%)))</f>
        <v xml:space="preserve"> </v>
      </c>
      <c r="M9" s="94" t="str">
        <f>IF(Z11="."," ",IF(Z11="kein Anspruch"," ",IF(Z11="Anspruch",Datenblatt!L44*17%)))</f>
        <v xml:space="preserve"> </v>
      </c>
      <c r="N9" s="1158"/>
      <c r="O9" s="1153"/>
      <c r="P9" s="506"/>
      <c r="Q9" s="506"/>
      <c r="R9" s="506"/>
      <c r="S9" s="506"/>
      <c r="T9" s="506"/>
      <c r="U9" s="506"/>
      <c r="V9" s="506"/>
      <c r="W9" s="506"/>
      <c r="X9" s="507"/>
      <c r="Y9" s="507"/>
      <c r="Z9" s="507"/>
    </row>
    <row r="10" spans="1:27" x14ac:dyDescent="0.2">
      <c r="A10" s="1152" t="s">
        <v>149</v>
      </c>
      <c r="B10" s="1152"/>
      <c r="C10" s="440"/>
      <c r="D10" s="440"/>
      <c r="E10" s="440"/>
      <c r="F10" s="440"/>
      <c r="G10" s="440"/>
      <c r="H10" s="440"/>
      <c r="I10" s="440"/>
      <c r="J10" s="440"/>
      <c r="K10" s="440"/>
      <c r="L10" s="440"/>
      <c r="M10" s="440"/>
      <c r="N10" s="1144" t="s">
        <v>184</v>
      </c>
      <c r="O10" s="1144"/>
      <c r="P10" s="661" t="s">
        <v>185</v>
      </c>
      <c r="Q10" s="661" t="s">
        <v>185</v>
      </c>
      <c r="R10" s="661" t="s">
        <v>185</v>
      </c>
      <c r="S10" s="661" t="s">
        <v>185</v>
      </c>
      <c r="T10" s="661" t="s">
        <v>185</v>
      </c>
      <c r="U10" s="661" t="s">
        <v>185</v>
      </c>
      <c r="V10" s="661" t="s">
        <v>185</v>
      </c>
      <c r="W10" s="661" t="s">
        <v>185</v>
      </c>
      <c r="X10" s="661" t="s">
        <v>185</v>
      </c>
      <c r="Y10" s="661" t="s">
        <v>185</v>
      </c>
      <c r="Z10" s="661" t="s">
        <v>185</v>
      </c>
    </row>
    <row r="11" spans="1:27" ht="15" thickBot="1" x14ac:dyDescent="0.25">
      <c r="A11" s="1152" t="s">
        <v>150</v>
      </c>
      <c r="B11" s="1152"/>
      <c r="C11" s="458" t="str">
        <f>IF(AND(BdU!K8="bitte auswählen",Kurzantrag!G10="bitte auswählen")," ",IF(AND(BdU!K8="nein",Kurzantrag!G10="nein"),"",IF(AND(OR(BG!D8="alleinerziehend",BG!D8="mit Partner",BG!D8="verheiratet"),BdU!K8="nein")," ",IF(AND(OR(BG!D8="alleinerziehend",BG!D8="mit Partner",BG!D8="verheiratet"),Kurzantrag!G10="nein")," ",IF(AND(BG!D8="alleinerziehend",BdU!K8="ja"),ROUND(Datenblatt!B5*2.3%,2),IF(AND(BG!D8="alleinerziehend",Kurzantrag!G10="ja"),ROUND(Datenblatt!B5*2.3%,2),ROUND(Datenblatt!B6*2.3%,2)))))))</f>
        <v xml:space="preserve"> </v>
      </c>
      <c r="D11" s="458" t="str">
        <f>IF(BG!C20=ISBLANK(0)," ",IF(AND(BdU!K8="bitte auswählen",Kurzantrag!G10="bitte auswählen")," ",IF(BdU!K8="nein"," ",IF(Kurzantrag!G10="nein","",ROUND(Datenblatt!B6*2.3%,2)))))</f>
        <v xml:space="preserve"> </v>
      </c>
      <c r="E11" s="458" t="str">
        <f>IF(BG!C21=ISBLANK(0)," ",IF(AND(BdU!K8="bitte auswählen",Kurzantrag!G10="bitte auswählen")," ",IF(BdU!K8="nein"," ",IF(Kurzantrag!G10="nein","",Datenblatt!B37))))</f>
        <v xml:space="preserve"> </v>
      </c>
      <c r="F11" s="458" t="str">
        <f>IF(BG!C22=ISBLANK(0)," ",IF(AND(BdU!K8="bitte auswählen",Kurzantrag!G10="bitte auswählen")," ",IF(BdU!K8="nein"," ",IF(Kurzantrag!G10="nein","",Datenblatt!C37))))</f>
        <v xml:space="preserve"> </v>
      </c>
      <c r="G11" s="458" t="str">
        <f>IF(BG!C23=ISBLANK(0)," ",IF(AND(BdU!K8="bitte auswählen",Kurzantrag!G10="bitte auswählen")," ",IF(BdU!K8="nein"," ",IF(Kurzantrag!G10="nein","",Datenblatt!D37))))</f>
        <v xml:space="preserve"> </v>
      </c>
      <c r="H11" s="458" t="str">
        <f>IF(BG!C24=ISBLANK(0)," ",IF(AND(BdU!K8="bitte auswählen",Kurzantrag!G10="bitte auswählen")," ",IF(BdU!K8="nein"," ",IF(Kurzantrag!G10="nein","",Datenblatt!E37))))</f>
        <v xml:space="preserve"> </v>
      </c>
      <c r="I11" s="458" t="str">
        <f>IF(BG!C25=ISBLANK(0)," ",IF(AND(BdU!K8="bitte auswählen",Kurzantrag!G10="bitte auswählen")," ",IF(BdU!K8="nein"," ",IF(Kurzantrag!G10="nein","",Datenblatt!F37))))</f>
        <v xml:space="preserve"> </v>
      </c>
      <c r="J11" s="458" t="str">
        <f>IF(BG!C26=ISBLANK(0)," ",IF(AND(BdU!K8="bitte auswählen",Kurzantrag!G10="bitte auswählen")," ",IF(BdU!K8="nein"," ",IF(Kurzantrag!G10="nein","",Datenblatt!G37))))</f>
        <v xml:space="preserve"> </v>
      </c>
      <c r="K11" s="459" t="str">
        <f>IF(BG!C27=ISBLANK(0)," ",IF(AND(BdU!K8="bitte auswählen",Kurzantrag!G10="bitte auswählen")," ",IF(BdU!K8="nein"," ",IF(Kurzantrag!G10="nein","",Datenblatt!H37))))</f>
        <v xml:space="preserve"> </v>
      </c>
      <c r="L11" s="459" t="str">
        <f>IF(BG!C28=ISBLANK(0)," ",IF(AND(BdU!K8="bitte auswählen",Kurzantrag!G10="bitte auswählen")," ",IF(BdU!K8="nein"," ",IF(Kurzantrag!G10="nein","",Datenblatt!I37))))</f>
        <v xml:space="preserve"> </v>
      </c>
      <c r="M11" s="459" t="str">
        <f>IF(BG!C29=ISBLANK(0)," ",IF(AND(BdU!K8="bitte auswählen",Kurzantrag!G10="bitte auswählen")," ",IF(BdU!K8="nein"," ",IF(Kurzantrag!G10="nein","",Datenblatt!J37))))</f>
        <v xml:space="preserve"> </v>
      </c>
      <c r="N11" s="1144" t="s">
        <v>428</v>
      </c>
      <c r="O11" s="1144"/>
      <c r="P11" s="508" t="s">
        <v>185</v>
      </c>
      <c r="Q11" s="508" t="s">
        <v>185</v>
      </c>
      <c r="R11" s="508" t="s">
        <v>185</v>
      </c>
      <c r="S11" s="508" t="s">
        <v>185</v>
      </c>
      <c r="T11" s="508" t="s">
        <v>185</v>
      </c>
      <c r="U11" s="508" t="s">
        <v>185</v>
      </c>
      <c r="V11" s="508" t="s">
        <v>185</v>
      </c>
      <c r="W11" s="508" t="s">
        <v>185</v>
      </c>
      <c r="X11" s="508" t="s">
        <v>185</v>
      </c>
      <c r="Y11" s="508" t="s">
        <v>185</v>
      </c>
      <c r="Z11" s="508" t="s">
        <v>185</v>
      </c>
    </row>
    <row r="12" spans="1:27" x14ac:dyDescent="0.2">
      <c r="A12" s="1162" t="s">
        <v>151</v>
      </c>
      <c r="B12" s="1163"/>
      <c r="C12" s="551" t="str">
        <f>IF(BG!D8="bitte auswählen","Familien-",IF(C13&gt;0,0,IF(BG!D8="alleinerziehend",Datenblatt!B5,IF(BG!D19&lt;18,Datenblatt!B12,IF(BG!D20&lt;18,Datenblatt!B5,Datenblatt!B6)))))</f>
        <v>Familien-</v>
      </c>
      <c r="D12" s="551" t="str">
        <f>IF(D13&gt;0,0,IF(BG!D8="bitte auswählen","stand?",IF(BG!D8="alleinerziehend",0,IF(BG!D20&lt;18,Datenblatt!B12,IF(BG!D19&lt;18,Datenblatt!B5,Datenblatt!B6)))))</f>
        <v>stand?</v>
      </c>
      <c r="E12" s="460" t="str">
        <f>IF(E13&gt;0,0,IF(BG!C21=ISBLANK(0)," ",IF(Datenblatt!E74&gt;24,0,IF(BG!G21="ja",Datenblatt!B36,IF(Datenblatt!E74&lt;6,Datenblatt!B8,IF(Datenblatt!E74&lt;14,Datenblatt!B10,IF(Datenblatt!E74&lt;18,Datenblatt!B12,Datenblatt!B14)))))))</f>
        <v xml:space="preserve"> </v>
      </c>
      <c r="F12" s="460" t="str">
        <f>IF(F13&gt;0,0,IF(BG!C22=ISBLANK(0)," ",IF(Datenblatt!F74&gt;24,0,IF(BG!G22="ja",Datenblatt!C36,IF(Datenblatt!F74&lt;6,Datenblatt!B8,IF(Datenblatt!F74&lt;14,Datenblatt!B10,IF(Datenblatt!F74&lt;18,Datenblatt!B12,Datenblatt!B14)))))))</f>
        <v xml:space="preserve"> </v>
      </c>
      <c r="G12" s="460" t="str">
        <f>IF(G13&gt;0,0,IF(BG!C23=ISBLANK(0)," ",IF(Datenblatt!G74&gt;24,0,IF(BG!G23="ja",Datenblatt!D36,IF(Datenblatt!G74&lt;6,Datenblatt!B8,IF(Datenblatt!G74&lt;14,Datenblatt!B10,IF(Datenblatt!G74&lt;18,Datenblatt!B12,Datenblatt!B14)))))))</f>
        <v xml:space="preserve"> </v>
      </c>
      <c r="H12" s="460" t="str">
        <f>IF(H13&gt;0,0,IF(BG!C24=ISBLANK(0)," ",IF(Datenblatt!H74&gt;24,0,IF(BG!G24="ja",Datenblatt!E36,IF(Datenblatt!H74&lt;6,Datenblatt!B8,IF(Datenblatt!H74&lt;14,Datenblatt!B10,IF(Datenblatt!H74&lt;18,Datenblatt!B12,Datenblatt!B14)))))))</f>
        <v xml:space="preserve"> </v>
      </c>
      <c r="I12" s="460" t="str">
        <f>IF(I13&gt;0,0,IF(BG!C25=ISBLANK(0)," ",IF(Datenblatt!I74&gt;24,0,IF(BG!G25="ja",Datenblatt!F36,IF(Datenblatt!I74&lt;6,Datenblatt!B8,IF(Datenblatt!I74&lt;14,Datenblatt!B10,IF(Datenblatt!I74&lt;18,Datenblatt!B12,Datenblatt!B14)))))))</f>
        <v xml:space="preserve"> </v>
      </c>
      <c r="J12" s="460" t="str">
        <f>IF(J13&gt;0,0,IF(BG!C26=ISBLANK(0)," ",IF(Datenblatt!J74&gt;24,0,IF(BG!G26="ja",Datenblatt!G36,IF(Datenblatt!J74&lt;6,Datenblatt!B8,IF(Datenblatt!J74&lt;14,Datenblatt!B10,IF(Datenblatt!J74&lt;18,Datenblatt!B12,Datenblatt!B14)))))))</f>
        <v xml:space="preserve"> </v>
      </c>
      <c r="K12" s="460" t="str">
        <f>IF(K13&gt;0,0,IF(BG!C27=ISBLANK(0)," ",IF(BG!D27&lt;6,Datenblatt!B8,IF(BG!D27&lt;14,Datenblatt!B10,IF(BG!D27&lt;18,Datenblatt!B12,IF(BG!D27&lt;25,Datenblatt!B14,IF(BG!D27&gt;24,0)))))))</f>
        <v xml:space="preserve"> </v>
      </c>
      <c r="L12" s="460" t="str">
        <f>IF(L13&gt;0,0,IF(BG!C28=ISBLANK(0)," ",IF(BG!D28&lt;6,Datenblatt!B8,IF(BG!D28&lt;14,Datenblatt!B10,IF(BG!D28&lt;18,Datenblatt!B12,IF(BG!D28&lt;25,Datenblatt!B14,IF(BG!D28&gt;24,0)))))))</f>
        <v xml:space="preserve"> </v>
      </c>
      <c r="M12" s="461" t="str">
        <f>IF(M13&gt;0,0,IF(BG!C29=ISBLANK(0)," ",IF(BG!D29&lt;6,Datenblatt!B8,IF(BG!D29&lt;14,Datenblatt!B10,IF(BG!D29&lt;18,Datenblatt!B12,IF(BG!D29&lt;25,Datenblatt!B14,IF(BG!D29&gt;24,0)))))))</f>
        <v xml:space="preserve"> </v>
      </c>
      <c r="N12" s="1153"/>
      <c r="O12" s="1007"/>
      <c r="P12" s="662"/>
      <c r="Q12" s="662"/>
      <c r="R12" s="662"/>
      <c r="S12" s="662"/>
      <c r="T12" s="662"/>
      <c r="U12" s="662"/>
      <c r="V12" s="662"/>
      <c r="W12" s="662"/>
      <c r="X12" s="662"/>
      <c r="Y12" s="662"/>
      <c r="Z12" s="662"/>
    </row>
    <row r="13" spans="1:27" x14ac:dyDescent="0.2">
      <c r="A13" s="1143" t="s">
        <v>176</v>
      </c>
      <c r="B13" s="1132"/>
      <c r="C13" s="462"/>
      <c r="D13" s="462"/>
      <c r="E13" s="462"/>
      <c r="F13" s="462"/>
      <c r="G13" s="462"/>
      <c r="H13" s="462"/>
      <c r="I13" s="462"/>
      <c r="J13" s="462"/>
      <c r="K13" s="440"/>
      <c r="L13" s="440"/>
      <c r="M13" s="463"/>
      <c r="N13" s="85"/>
      <c r="O13" s="85"/>
      <c r="P13" s="85"/>
      <c r="Q13" s="85"/>
      <c r="R13" s="85"/>
      <c r="S13" s="85"/>
      <c r="T13" s="85"/>
      <c r="U13" s="85"/>
      <c r="V13" s="85"/>
      <c r="W13" s="85"/>
      <c r="X13" s="85"/>
      <c r="Y13" s="85"/>
      <c r="Z13" s="85"/>
    </row>
    <row r="14" spans="1:27" x14ac:dyDescent="0.2">
      <c r="A14" s="1138" t="s">
        <v>152</v>
      </c>
      <c r="B14" s="969"/>
      <c r="C14" s="94" t="e">
        <f>IF(SUM(C4:C11)&gt;Datenblatt!B5,SUM(Datenblatt!B5,C10,C11),SUM(C4:C11))</f>
        <v>#N/A</v>
      </c>
      <c r="D14" s="94" t="e">
        <f>IF(SUM(D4:D11)&gt;Datenblatt!B5,SUM(Datenblatt!B5,D10,D11),SUM(D4:D11))</f>
        <v>#N/A</v>
      </c>
      <c r="E14" s="94" t="str">
        <f>IF(BG!C21=ISBLANK(0)," ",IF(Datenblatt!E74&gt;24,0,IF(SUM(E4:E11)&gt;Datenblatt!B5,SUM(Datenblatt!B5,E10,E11),SUM(E4:E11))))</f>
        <v xml:space="preserve"> </v>
      </c>
      <c r="F14" s="94" t="str">
        <f>IF(BG!C22=ISBLANK(0)," ",IF(Datenblatt!F74&gt;24,0,IF(SUM(F4:F11)&gt;Datenblatt!B5,SUM(Datenblatt!B5,F10,F11),SUM(F4:F11))))</f>
        <v xml:space="preserve"> </v>
      </c>
      <c r="G14" s="94" t="str">
        <f>IF(BG!C23=ISBLANK(0)," ",IF(Datenblatt!G74&gt;24,0,IF(SUM(G4:G11)&gt;Datenblatt!B5,SUM(Datenblatt!B5,G10,G11),SUM(G4:G11))))</f>
        <v xml:space="preserve"> </v>
      </c>
      <c r="H14" s="94" t="str">
        <f>IF(BG!C24=ISBLANK(0)," ",IF(Datenblatt!H74&gt;24,0,IF(SUM(H4:H11)&gt;Datenblatt!B5,SUM(Datenblatt!B5,H10,H11),SUM(H4:H11))))</f>
        <v xml:space="preserve"> </v>
      </c>
      <c r="I14" s="94" t="str">
        <f>IF(BG!C25=ISBLANK(0)," ",IF(Datenblatt!I74&gt;24,0,IF(SUM(I4:I11)&gt;Datenblatt!B5,SUM(Datenblatt!B5,I10,I11),SUM(I4:I11))))</f>
        <v xml:space="preserve"> </v>
      </c>
      <c r="J14" s="94" t="str">
        <f>IF(BG!C26=ISBLANK(0)," ",IF(Datenblatt!J74&gt;24,0,IF(SUM(J4:J11)&gt;Datenblatt!B5,SUM(Datenblatt!B5,J10,J11),SUM(J4:J11))))</f>
        <v xml:space="preserve"> </v>
      </c>
      <c r="K14" s="94" t="str">
        <f>IF(BG!C27=ISBLANK(0)," ",IF(Datenblatt!K74&gt;24,0,IF(SUM(K4:K11)&gt;Datenblatt!B5,SUM(Datenblatt!B5,K10,K11),SUM(K4:K11))))</f>
        <v xml:space="preserve"> </v>
      </c>
      <c r="L14" s="94" t="str">
        <f>IF(BG!C28=ISBLANK(0)," ",IF(Datenblatt!L74&gt;24,0,IF(SUM(L4:L11)&gt;Datenblatt!B5,SUM(Datenblatt!B5,L10,L11),SUM(L4:L11))))</f>
        <v xml:space="preserve"> </v>
      </c>
      <c r="M14" s="94" t="str">
        <f>IF(BG!C29=ISBLANK(0)," ",IF(Datenblatt!M74&gt;24,0,IF(SUM(M4:M11)&gt;Datenblatt!B5,SUM(Datenblatt!B5,M10,M11),SUM(M4:M11))))</f>
        <v xml:space="preserve"> </v>
      </c>
      <c r="N14" s="85"/>
      <c r="O14" s="85"/>
      <c r="P14" s="85"/>
      <c r="Q14" s="85"/>
      <c r="R14" s="439" t="s">
        <v>343</v>
      </c>
      <c r="S14" s="439" t="s">
        <v>344</v>
      </c>
      <c r="T14" s="439" t="s">
        <v>345</v>
      </c>
      <c r="U14" s="439" t="s">
        <v>378</v>
      </c>
      <c r="V14" s="439" t="s">
        <v>379</v>
      </c>
      <c r="W14" s="439" t="s">
        <v>380</v>
      </c>
      <c r="X14" s="85"/>
      <c r="Y14" s="85"/>
      <c r="Z14" s="85"/>
    </row>
    <row r="15" spans="1:27" x14ac:dyDescent="0.2">
      <c r="A15" s="1138" t="s">
        <v>153</v>
      </c>
      <c r="B15" s="969"/>
      <c r="C15" s="94">
        <f>IF(AND(BdU!C7&gt;0,Kurzantrag!G7&lt;=0),(BdU!C7/BdU!K5),IF(AND(BdU!C7&gt;0,Kurzantrag!G7&gt;0),(BdU!C7/Kurzantrag!G7),IF(BdU!C32=0,0,(BdU!C32/BdU!K5))))</f>
        <v>0</v>
      </c>
      <c r="D15" s="94" t="str">
        <f>IF(AND(BG!C20=ISBLANK(0),Kurzantrag!G7&lt;=0)," ",IF(BG!D8="alleinerziehend","",IF(AND(BdU!C7&gt;0,Kurzantrag!G7&gt;0),(BdU!C7/Kurzantrag!G7),IF(BdU!C7&gt;0,(BdU!C7/BdU!K5),IF(BdU!C32=0,0,(BdU!C32/BdU!K5))))))</f>
        <v xml:space="preserve"> </v>
      </c>
      <c r="E15" s="94" t="str">
        <f>IF(BG!C21=ISBLANK(0)," ",IF(Datenblatt!E74&gt;24,0,IF(AND(BdU!C7&gt;0,Kurzantrag!G7&lt;=0),(BdU!C7/BdU!K5),IF(AND(BdU!C7&gt;0,Kurzantrag!G7&gt;0),(BdU!C7/Kurzantrag!G7),IF(BdU!C32=0,0,(BdU!C32/BdU!K5))))))</f>
        <v xml:space="preserve"> </v>
      </c>
      <c r="F15" s="94" t="str">
        <f>IF(BG!C22=ISBLANK(0)," ",IF(Datenblatt!F74&gt;24,0,IF(AND(BdU!C7&gt;0,Kurzantrag!G7&lt;=0),(BdU!C7/BdU!K5),IF(AND(BdU!C7&gt;0,Kurzantrag!G7&gt;0),(BdU!C7/Kurzantrag!G7),IF(BdU!C32=0,0,(BdU!C32/BdU!K5))))))</f>
        <v xml:space="preserve"> </v>
      </c>
      <c r="G15" s="94" t="str">
        <f>IF(BG!C23=ISBLANK(0)," ",IF(Datenblatt!G74&gt;24,0,IF(AND(BdU!C7&gt;0,Kurzantrag!G7&lt;=0),(BdU!C7/BdU!K5),IF(AND(BdU!C7&gt;0,Kurzantrag!G7&gt;0),(BdU!C7/Kurzantrag!G7),IF(BdU!C32=0,0,(BdU!C32/BdU!K5))))))</f>
        <v xml:space="preserve"> </v>
      </c>
      <c r="H15" s="94" t="str">
        <f>IF(BG!C24=ISBLANK(0)," ",IF(Datenblatt!H74&gt;24,0,IF(AND(BdU!C7&gt;0,Kurzantrag!G7&lt;=0),(BdU!C7/BdU!K5),IF(AND(BdU!C7&gt;0,Kurzantrag!G7&gt;0),(BdU!C7/Kurzantrag!G7),IF(BdU!C32=0,0,(BdU!C32/BdU!K5))))))</f>
        <v xml:space="preserve"> </v>
      </c>
      <c r="I15" s="94" t="str">
        <f>IF(BG!C25=ISBLANK(0)," ",IF(Datenblatt!I74&gt;24,0,IF(AND(BdU!C7&gt;0,Kurzantrag!G7&lt;=0),(BdU!C7/BdU!K5),IF(AND(BdU!C7&gt;0,Kurzantrag!G7&gt;0),(BdU!C7/Kurzantrag!G7),IF(BdU!C32=0,0,(BdU!C32/BdU!K5))))))</f>
        <v xml:space="preserve"> </v>
      </c>
      <c r="J15" s="94" t="str">
        <f>IF(BG!C26=ISBLANK(0)," ",IF(Datenblatt!J74&gt;24,0,IF(AND(BdU!C7&gt;0,Kurzantrag!G7&lt;=0),(BdU!C7/BdU!K5),IF(AND(BdU!C7&gt;0,Kurzantrag!G7&gt;0),(BdU!C7/Kurzantrag!G7),IF(BdU!C32=0,0,(BdU!C32/BdU!K5))))))</f>
        <v xml:space="preserve"> </v>
      </c>
      <c r="K15" s="94" t="str">
        <f>IF(BG!C27=ISBLANK(0)," ",IF(Datenblatt!K74&gt;24,0,IF(AND(BdU!C7&gt;0,Kurzantrag!G7&lt;=0),(BdU!C7/BdU!K5),IF(AND(BdU!C7&gt;0,Kurzantrag!G7&gt;0),(BdU!C7/Kurzantrag!G7),IF(BdU!C32=0,0,(BdU!C32/BdU!K5))))))</f>
        <v xml:space="preserve"> </v>
      </c>
      <c r="L15" s="94" t="str">
        <f>IF(BG!C28=ISBLANK(0)," ",IF(Datenblatt!L74&gt;24,0,IF(AND(BdU!C7&gt;0,Kurzantrag!G7&lt;=0),(BdU!C7/BdU!K5),IF(AND(BdU!C7&gt;0,Kurzantrag!G7&gt;0),(BdU!C7/Kurzantrag!G7),IF(BdU!C32=0,0,(BdU!C32/BdU!K5))))))</f>
        <v xml:space="preserve"> </v>
      </c>
      <c r="M15" s="464" t="str">
        <f>IF(BG!C29=ISBLANK(0)," ",IF(Datenblatt!M74&gt;24,0,IF(AND(BdU!C7&gt;0,Kurzantrag!G7&lt;=0),(BdU!C7/BdU!K5),IF(AND(BdU!C7&gt;0,Kurzantrag!G7&gt;0),(BdU!C7/Kurzantrag!G7),IF(BdU!C32=0,0,(BdU!C32/BdU!K5))))))</f>
        <v xml:space="preserve"> </v>
      </c>
      <c r="N15" s="85"/>
      <c r="O15" s="85"/>
      <c r="P15" s="1159" t="s">
        <v>181</v>
      </c>
      <c r="Q15" s="1159"/>
      <c r="R15" s="498" t="s">
        <v>185</v>
      </c>
      <c r="S15" s="498" t="s">
        <v>185</v>
      </c>
      <c r="T15" s="498" t="s">
        <v>185</v>
      </c>
      <c r="U15" s="498" t="s">
        <v>185</v>
      </c>
      <c r="V15" s="498" t="s">
        <v>185</v>
      </c>
      <c r="W15" s="498" t="s">
        <v>185</v>
      </c>
      <c r="X15" s="85"/>
      <c r="Y15" s="85"/>
      <c r="Z15" s="85"/>
    </row>
    <row r="16" spans="1:27" ht="15" thickBot="1" x14ac:dyDescent="0.25">
      <c r="A16" s="1160" t="s">
        <v>154</v>
      </c>
      <c r="B16" s="1161"/>
      <c r="C16" s="465" t="e">
        <f>ROUND(SUM(C12:C15),2)</f>
        <v>#N/A</v>
      </c>
      <c r="D16" s="465">
        <f>IF(BG!C20=ISBLANK(0),0,ROUND(SUM(D12:D15),2))</f>
        <v>0</v>
      </c>
      <c r="E16" s="465" t="str">
        <f>IF(BG!C21=ISBLANK(0)," ",ROUND(SUM(E12:E15),2))</f>
        <v xml:space="preserve"> </v>
      </c>
      <c r="F16" s="465" t="str">
        <f>IF(BG!C22=ISBLANK(0)," ",ROUND(SUM(F12:F15),2))</f>
        <v xml:space="preserve"> </v>
      </c>
      <c r="G16" s="465" t="str">
        <f>IF(BG!C23=ISBLANK(0)," ",ROUND(SUM(G12:G15),2))</f>
        <v xml:space="preserve"> </v>
      </c>
      <c r="H16" s="465" t="str">
        <f>IF(BG!C24=ISBLANK(0)," ",ROUND(SUM(H12:H15),2))</f>
        <v xml:space="preserve"> </v>
      </c>
      <c r="I16" s="465" t="str">
        <f>IF(BG!C25=ISBLANK(0)," ",ROUND(SUM(I12:I15),2))</f>
        <v xml:space="preserve"> </v>
      </c>
      <c r="J16" s="465" t="str">
        <f>IF(BG!C26=ISBLANK(0)," ",ROUND(SUM(J12:J15),2))</f>
        <v xml:space="preserve"> </v>
      </c>
      <c r="K16" s="465" t="str">
        <f>IF(BG!C27=ISBLANK(0)," ",ROUND(SUM(K12:K15),2))</f>
        <v xml:space="preserve"> </v>
      </c>
      <c r="L16" s="465" t="str">
        <f>IF(BG!C28=ISBLANK(0)," ",ROUND(SUM(L12:L15),2))</f>
        <v xml:space="preserve"> </v>
      </c>
      <c r="M16" s="466" t="str">
        <f>IF(BG!C29=ISBLANK(0)," ",ROUND(SUM(M12:M15),2))</f>
        <v xml:space="preserve"> </v>
      </c>
      <c r="N16" s="85"/>
      <c r="O16" s="85"/>
      <c r="P16" s="1156" t="s">
        <v>458</v>
      </c>
      <c r="Q16" s="1157"/>
      <c r="R16" s="510" t="str">
        <f>IF(R17=""," ",Datenblatt!M41)</f>
        <v xml:space="preserve"> </v>
      </c>
      <c r="S16" s="510" t="str">
        <f>IF(S17=""," ",Datenblatt!N41)</f>
        <v xml:space="preserve"> </v>
      </c>
      <c r="T16" s="510" t="str">
        <f>IF(T17=""," ",Datenblatt!O41)</f>
        <v xml:space="preserve"> </v>
      </c>
      <c r="U16" s="510" t="str">
        <f>IF(U17=""," ",Datenblatt!P41)</f>
        <v xml:space="preserve"> </v>
      </c>
      <c r="V16" s="510" t="str">
        <f>IF(V17=""," ",Datenblatt!Q41)</f>
        <v xml:space="preserve"> </v>
      </c>
      <c r="W16" s="510" t="str">
        <f>IF(W17=""," ",Datenblatt!R41)</f>
        <v xml:space="preserve"> </v>
      </c>
      <c r="X16" s="85"/>
      <c r="Y16" s="85"/>
      <c r="Z16" s="85"/>
    </row>
    <row r="17" spans="1:27" x14ac:dyDescent="0.2">
      <c r="A17" s="84" t="s">
        <v>590</v>
      </c>
      <c r="B17" s="84"/>
      <c r="C17" s="93" t="e">
        <f>C12+C13+C15</f>
        <v>#VALUE!</v>
      </c>
      <c r="D17" s="93" t="e">
        <f t="shared" ref="D17" si="0">D12+D13+D15</f>
        <v>#VALUE!</v>
      </c>
      <c r="E17" s="766"/>
      <c r="F17" s="766"/>
      <c r="G17" s="766"/>
      <c r="H17" s="766"/>
      <c r="I17" s="766"/>
      <c r="J17" s="766"/>
      <c r="K17" s="766"/>
      <c r="L17" s="766"/>
      <c r="M17" s="766"/>
      <c r="N17" s="85"/>
      <c r="O17" s="85"/>
      <c r="P17" s="1139" t="s">
        <v>192</v>
      </c>
      <c r="Q17" s="1139"/>
      <c r="R17" s="501"/>
      <c r="S17" s="501"/>
      <c r="T17" s="501"/>
      <c r="U17" s="511"/>
      <c r="V17" s="512"/>
      <c r="W17" s="512"/>
      <c r="X17" s="85"/>
      <c r="Y17" s="85"/>
      <c r="Z17" s="85"/>
    </row>
    <row r="18" spans="1:27" x14ac:dyDescent="0.2">
      <c r="A18" s="969" t="s">
        <v>383</v>
      </c>
      <c r="B18" s="969"/>
      <c r="C18" s="467"/>
      <c r="D18" s="468"/>
      <c r="E18" s="94" t="str">
        <f>IF(BG!C21=ISBLANK(0)," ",IF(Kurzantrag!C12&gt;0,E19*100/45,'K1'!F113))</f>
        <v xml:space="preserve"> </v>
      </c>
      <c r="F18" s="94" t="str">
        <f>IF(BG!C22=ISBLANK(0)," ",IF(Kurzantrag!C13&gt;0,F19*100/45,'K2'!F113))</f>
        <v xml:space="preserve"> </v>
      </c>
      <c r="G18" s="94" t="str">
        <f>IF(BG!C23=ISBLANK(0)," ",IF(Kurzantrag!C14&gt;0,G19*100/45,'K3'!F113))</f>
        <v xml:space="preserve"> </v>
      </c>
      <c r="H18" s="94" t="str">
        <f>IF(BG!C24=ISBLANK(0)," ",IF(Kurzantrag!C15&gt;0,H19*100/45,'K4'!F113))</f>
        <v xml:space="preserve"> </v>
      </c>
      <c r="I18" s="94" t="str">
        <f>IF(BG!C25=ISBLANK(0)," ",IF(Kurzantrag!C16&gt;0,I19*100/45,'K5'!F113))</f>
        <v xml:space="preserve"> </v>
      </c>
      <c r="J18" s="94" t="str">
        <f>IF(BG!C26=ISBLANK(0)," ",IF(Kurzantrag!C17&gt;0,J19*100/45,'K6'!F113))</f>
        <v xml:space="preserve"> </v>
      </c>
      <c r="K18" s="94" t="str">
        <f>IF(BG!C27=ISBLANK(0)," ",IF(Kurzantrag!C18&gt;0,K19*100/45,'K7'!F113))</f>
        <v xml:space="preserve"> </v>
      </c>
      <c r="L18" s="94" t="str">
        <f>IF(BG!C28=ISBLANK(0)," ",IF(Kurzantrag!C19&gt;0,L19*100/45,'K8'!F113))</f>
        <v xml:space="preserve"> </v>
      </c>
      <c r="M18" s="94" t="str">
        <f>IF(BG!C29=ISBLANK(0)," ",IF(Kurzantrag!C20&gt;0,M19*100/45,'K9'!F113))</f>
        <v xml:space="preserve"> </v>
      </c>
      <c r="N18" s="85"/>
      <c r="O18" s="85"/>
      <c r="P18" s="1144" t="s">
        <v>183</v>
      </c>
      <c r="Q18" s="1144"/>
      <c r="R18" s="498" t="s">
        <v>185</v>
      </c>
      <c r="S18" s="498" t="s">
        <v>185</v>
      </c>
      <c r="T18" s="498" t="s">
        <v>185</v>
      </c>
      <c r="U18" s="498" t="s">
        <v>185</v>
      </c>
      <c r="V18" s="498" t="s">
        <v>185</v>
      </c>
      <c r="W18" s="498" t="s">
        <v>185</v>
      </c>
      <c r="X18" s="85"/>
      <c r="Y18" s="85"/>
      <c r="Z18" s="85"/>
    </row>
    <row r="19" spans="1:27" x14ac:dyDescent="0.2">
      <c r="A19" s="969" t="s">
        <v>384</v>
      </c>
      <c r="B19" s="969"/>
      <c r="C19" s="469"/>
      <c r="D19" s="470"/>
      <c r="E19" s="94" t="str">
        <f>IF(BG!C21=ISBLANK(0)," ",'K1'!H121)</f>
        <v xml:space="preserve"> </v>
      </c>
      <c r="F19" s="94" t="str">
        <f>IF(BG!C22=ISBLANK(0)," ",'K2'!H121)</f>
        <v xml:space="preserve"> </v>
      </c>
      <c r="G19" s="94" t="str">
        <f>IF(BG!C23=ISBLANK(0)," ",'K3'!H121)</f>
        <v xml:space="preserve"> </v>
      </c>
      <c r="H19" s="94" t="str">
        <f>IF(BG!C24=ISBLANK(0)," ",'K4'!H121)</f>
        <v xml:space="preserve"> </v>
      </c>
      <c r="I19" s="94" t="str">
        <f>IF(BG!C25=ISBLANK(0)," ",'K5'!H121)</f>
        <v xml:space="preserve"> </v>
      </c>
      <c r="J19" s="94" t="str">
        <f>IF(BG!C26=ISBLANK(0)," ",'K6'!H121)</f>
        <v xml:space="preserve"> </v>
      </c>
      <c r="K19" s="94" t="str">
        <f>IF(BG!C27=ISBLANK(0)," ",'K7'!H121)</f>
        <v xml:space="preserve"> </v>
      </c>
      <c r="L19" s="94" t="str">
        <f>IF(BG!C28=ISBLANK(0)," ",'K8'!H121)</f>
        <v xml:space="preserve"> </v>
      </c>
      <c r="M19" s="94" t="str">
        <f>IF(BG!C29=ISBLANK(0)," ",'K9'!H121)</f>
        <v xml:space="preserve"> </v>
      </c>
      <c r="N19" s="85"/>
      <c r="O19" s="85"/>
      <c r="P19" s="1158"/>
      <c r="Q19" s="1153"/>
      <c r="R19" s="507"/>
      <c r="S19" s="507"/>
      <c r="T19" s="507"/>
      <c r="U19" s="506"/>
      <c r="V19" s="506"/>
      <c r="W19" s="506"/>
      <c r="X19" s="85"/>
      <c r="Y19" s="85"/>
      <c r="Z19" s="85"/>
    </row>
    <row r="20" spans="1:27" x14ac:dyDescent="0.2">
      <c r="A20" s="969" t="s">
        <v>199</v>
      </c>
      <c r="B20" s="969"/>
      <c r="C20" s="469"/>
      <c r="D20" s="470"/>
      <c r="E20" s="94" t="str">
        <f>IF(BG!C21=ISBLANK(0)," ",Vermögen!G17)</f>
        <v xml:space="preserve"> </v>
      </c>
      <c r="F20" s="94" t="str">
        <f>IF(BG!C22=ISBLANK(0)," ",Vermögen!H17)</f>
        <v xml:space="preserve"> </v>
      </c>
      <c r="G20" s="94" t="str">
        <f>IF(BG!C23=ISBLANK(0)," ",Vermögen!I17)</f>
        <v xml:space="preserve"> </v>
      </c>
      <c r="H20" s="94" t="str">
        <f>IF(BG!C24=ISBLANK(0)," ",Vermögen!J17)</f>
        <v xml:space="preserve"> </v>
      </c>
      <c r="I20" s="94" t="str">
        <f>IF(BG!C25=ISBLANK(0)," ",Vermögen!K17)</f>
        <v xml:space="preserve"> </v>
      </c>
      <c r="J20" s="94" t="str">
        <f>IF(BG!C26=ISBLANK(0)," ",Vermögen!L17)</f>
        <v xml:space="preserve"> </v>
      </c>
      <c r="K20" s="94" t="str">
        <f>IF(BG!C27=ISBLANK(0)," ",Vermögen!M17)</f>
        <v xml:space="preserve"> </v>
      </c>
      <c r="L20" s="94" t="str">
        <f>IF(BG!C28=ISBLANK(0)," ",Vermögen!E34)</f>
        <v xml:space="preserve"> </v>
      </c>
      <c r="M20" s="94" t="str">
        <f>IF(BG!C29=ISBLANK(0)," ",Vermögen!F34)</f>
        <v xml:space="preserve"> </v>
      </c>
      <c r="N20" s="85"/>
      <c r="O20" s="85"/>
      <c r="P20" s="1144" t="s">
        <v>184</v>
      </c>
      <c r="Q20" s="1144"/>
      <c r="R20" s="661" t="s">
        <v>185</v>
      </c>
      <c r="S20" s="661" t="s">
        <v>185</v>
      </c>
      <c r="T20" s="661" t="s">
        <v>185</v>
      </c>
      <c r="U20" s="661" t="s">
        <v>185</v>
      </c>
      <c r="V20" s="661" t="s">
        <v>185</v>
      </c>
      <c r="W20" s="661" t="s">
        <v>185</v>
      </c>
      <c r="X20" s="85"/>
      <c r="Y20" s="85"/>
      <c r="Z20" s="85"/>
    </row>
    <row r="21" spans="1:27" x14ac:dyDescent="0.2">
      <c r="A21" s="969" t="s">
        <v>197</v>
      </c>
      <c r="B21" s="969"/>
      <c r="C21" s="471"/>
      <c r="D21" s="472"/>
      <c r="E21" s="440">
        <v>255</v>
      </c>
      <c r="F21" s="440">
        <v>255</v>
      </c>
      <c r="G21" s="440">
        <v>255</v>
      </c>
      <c r="H21" s="440">
        <v>255</v>
      </c>
      <c r="I21" s="440">
        <v>255</v>
      </c>
      <c r="J21" s="440">
        <v>255</v>
      </c>
      <c r="K21" s="440">
        <v>255</v>
      </c>
      <c r="L21" s="440">
        <v>255</v>
      </c>
      <c r="M21" s="440">
        <v>255</v>
      </c>
      <c r="N21" s="85"/>
      <c r="O21" s="85"/>
      <c r="P21" s="1144" t="s">
        <v>428</v>
      </c>
      <c r="Q21" s="1144"/>
      <c r="R21" s="509" t="s">
        <v>185</v>
      </c>
      <c r="S21" s="509" t="s">
        <v>185</v>
      </c>
      <c r="T21" s="509" t="s">
        <v>185</v>
      </c>
      <c r="U21" s="498" t="s">
        <v>185</v>
      </c>
      <c r="V21" s="498" t="s">
        <v>185</v>
      </c>
      <c r="W21" s="498" t="s">
        <v>185</v>
      </c>
      <c r="X21" s="85"/>
      <c r="Y21" s="85"/>
      <c r="Z21" s="85"/>
    </row>
    <row r="22" spans="1:27" x14ac:dyDescent="0.2">
      <c r="A22" s="966" t="s">
        <v>279</v>
      </c>
      <c r="B22" s="966"/>
      <c r="C22" s="236" t="str">
        <f>IF(BG!C19=ISBLANK(0)," ",IF(BG!F19=".","nein",IF(BG!F19="nein","nein",IF(BG!F19="Rentner","ja",IF(BG!F19="Aufenthalt","ja",IF(BG!F19="Student","ja"))))))</f>
        <v xml:space="preserve"> </v>
      </c>
      <c r="D22" s="236" t="str">
        <f>IF(BG!C20=ISBLANK(0)," ",IF(BG!F20=".","nein",IF(BG!F20="nein","nein",IF(BG!F20="Rentner","ja",IF(BG!F20="Aufenthalt","ja",IF(BG!F20="Student","ja"))))))</f>
        <v xml:space="preserve"> </v>
      </c>
      <c r="E22" s="236" t="str">
        <f>IF(BG!C21=ISBLANK(0),"",IF(BG!F21=".","nein",IF(BG!F21="nein","nein",IF(BG!F21="Rentner","ja",IF(BG!F21="Aufenthalt","ja",IF(BG!F21="Student","ja"))))))</f>
        <v/>
      </c>
      <c r="F22" s="236" t="str">
        <f>IF(BG!C22=ISBLANK(0)," ",IF(BG!F22=".","nein",IF(BG!F22="nein","nein",IF(BG!F22="Rentner","ja",IF(BG!F22="Aufenthalt","ja",IF(BG!F22="Student","ja"))))))</f>
        <v xml:space="preserve"> </v>
      </c>
      <c r="G22" s="236" t="str">
        <f>IF(BG!C23=ISBLANK(0)," ",IF(BG!F23=".","nein",IF(BG!F23="nein","nein",IF(BG!F23="Rentner","ja",IF(BG!F23="Aufenthalt","ja",IF(BG!F23="Student","ja"))))))</f>
        <v xml:space="preserve"> </v>
      </c>
      <c r="H22" s="236" t="str">
        <f>IF(BG!C24=ISBLANK(0)," ",IF(BG!F24=".","nein",IF(BG!F24="nein","nein",IF(BG!F24="Rentner","ja",IF(BG!F24="Aufenthalt","ja",IF(BG!F24="Student","ja"))))))</f>
        <v xml:space="preserve"> </v>
      </c>
      <c r="I22" s="236" t="str">
        <f>IF(BG!C25=ISBLANK(0)," ",IF(BG!F25=".","nein",IF(BG!F25="nein","nein",IF(BG!F25="Rentner","ja",IF(BG!F25="Aufenthalt","ja",IF(BG!F25="Student","ja"))))))</f>
        <v xml:space="preserve"> </v>
      </c>
      <c r="J22" s="236" t="str">
        <f>IF(BG!C26=ISBLANK(0)," ",IF(BG!F26=".","nein",IF(BG!F26="nein","nein",IF(BG!F26="Rentner","ja",IF(BG!F26="Aufenthalt","ja",IF(BG!F26="Student","ja"))))))</f>
        <v xml:space="preserve"> </v>
      </c>
      <c r="K22" s="473" t="str">
        <f>IF(BG!C27=ISBLANK(0)," ",IF(BG!F27=".","nein",IF(BG!F27="nein","nein",IF(BG!F27="Rentner","ja",IF(BG!F27="Aufenthalt","ja",IF(BG!F27="Student","ja"))))))</f>
        <v xml:space="preserve"> </v>
      </c>
      <c r="L22" s="473" t="str">
        <f>IF(BG!C28=ISBLANK(0)," ",IF(BG!F28=".","nein",IF(BG!F28="nein","nein",IF(BG!F28="Rentner","ja",IF(BG!F28="Aufenthalt","ja",IF(BG!F28="Student","ja"))))))</f>
        <v xml:space="preserve"> </v>
      </c>
      <c r="M22" s="473" t="str">
        <f>IF(BG!C29=ISBLANK(0)," ",IF(BG!F29=".","nein",IF(BG!F29="nein","nein",IF(BG!F29="Rentner","ja",IF(BG!F29="Aufenthalt","ja",IF(BG!F29="Student","ja"))))))</f>
        <v xml:space="preserve"> </v>
      </c>
      <c r="N22" s="85"/>
      <c r="O22" s="85"/>
      <c r="P22" s="1007"/>
      <c r="Q22" s="1007"/>
      <c r="R22" s="507"/>
      <c r="S22" s="507"/>
      <c r="T22" s="507"/>
      <c r="U22" s="506"/>
      <c r="V22" s="506"/>
      <c r="W22" s="506"/>
      <c r="X22" s="85"/>
      <c r="Y22" s="85"/>
      <c r="Z22" s="85"/>
    </row>
    <row r="23" spans="1:27" ht="15" x14ac:dyDescent="0.25">
      <c r="A23" s="1134" t="s">
        <v>198</v>
      </c>
      <c r="B23" s="1134"/>
      <c r="C23" s="474"/>
      <c r="D23" s="474"/>
      <c r="E23" s="474"/>
      <c r="F23" s="474"/>
      <c r="G23" s="474"/>
      <c r="H23" s="474"/>
      <c r="I23" s="474"/>
      <c r="J23" s="474"/>
      <c r="K23" s="474"/>
      <c r="L23" s="474"/>
      <c r="M23" s="474"/>
      <c r="N23" s="85"/>
      <c r="O23" s="85"/>
      <c r="P23" s="85"/>
      <c r="Q23" s="85"/>
      <c r="R23" s="513"/>
      <c r="S23" s="513"/>
      <c r="T23" s="513"/>
      <c r="U23" s="513"/>
      <c r="V23" s="513"/>
      <c r="W23" s="513"/>
      <c r="X23" s="85"/>
      <c r="Y23" s="85"/>
      <c r="Z23" s="85"/>
      <c r="AA23" s="2"/>
    </row>
    <row r="24" spans="1:27" ht="15" x14ac:dyDescent="0.25">
      <c r="A24" s="1135" t="s">
        <v>381</v>
      </c>
      <c r="B24" s="1135"/>
      <c r="C24" s="475" t="e">
        <f>IF(AND(Bedarfe!C22="ja",BG!F19="Student"),Bedarfe!C14,IF(Bedarfe!C22="ja",0,Bedarfe!C16))</f>
        <v>#N/A</v>
      </c>
      <c r="D24" s="475" t="str">
        <f>IF(BG!C20=ISBLANK(0)," ",IF(AND(Bedarfe!D22="ja",BG!F20="Student"),Bedarfe!D14,IF(Bedarfe!D22="ja",0,Bedarfe!D16)))</f>
        <v xml:space="preserve"> </v>
      </c>
      <c r="E24" s="475" t="str">
        <f>IF(BG!C21=ISBLANK(0)," ",IF(E22="ja",0,IF(E16-E18-E21-E20&lt;0,0,E16-E18-E21-E20)))</f>
        <v xml:space="preserve"> </v>
      </c>
      <c r="F24" s="475" t="str">
        <f>IF(BG!C22=ISBLANK(0)," ",IF(F22="ja",0,IF(F16-F18-F21-F20&lt;0,0,F16-F18-F21-F20)))</f>
        <v xml:space="preserve"> </v>
      </c>
      <c r="G24" s="475" t="str">
        <f>IF(BG!C23=ISBLANK(0)," ",IF(G22="ja",0,IF(G16-G18-G21-G20&lt;0,0,G16-G18-G21-G20)))</f>
        <v xml:space="preserve"> </v>
      </c>
      <c r="H24" s="475" t="str">
        <f>IF(BG!C24=ISBLANK(0)," ",IF(H22="ja",0,IF(H16-H18-H21-H20&lt;0,0,H16-H18-H21-H20)))</f>
        <v xml:space="preserve"> </v>
      </c>
      <c r="I24" s="475" t="str">
        <f>IF(BG!C25=ISBLANK(0)," ",IF(I22="ja",0,IF(I16-I18-I21-I20&lt;0,0,I16-I18-I21-I20)))</f>
        <v xml:space="preserve"> </v>
      </c>
      <c r="J24" s="475" t="str">
        <f>IF(BG!C26=ISBLANK(0)," ",IF(J22="ja",0,IF(J16-J18-J21-J20&lt;0,0,J16-J18-J21-J20)))</f>
        <v xml:space="preserve"> </v>
      </c>
      <c r="K24" s="475" t="str">
        <f>IF(BG!C27=ISBLANK(0)," ",IF(K22="ja",0,IF(K16-K18-K21-K20&lt;0,0,K16-K18-K21-K20)))</f>
        <v xml:space="preserve"> </v>
      </c>
      <c r="L24" s="475" t="str">
        <f>IF(BG!C28=ISBLANK(0)," ",IF(L22="ja",0,IF(L16-L18-L21-L20&lt;0,0,L16-L18-L21-L20)))</f>
        <v xml:space="preserve"> </v>
      </c>
      <c r="M24" s="475" t="str">
        <f>IF(BG!C29=ISBLANK(0)," ",IF(M22="ja",0,IF(M16-M18-M21-M20&lt;0,0,M16-M18-M21-M20)))</f>
        <v xml:space="preserve"> </v>
      </c>
      <c r="N24" s="95"/>
      <c r="O24" s="85"/>
      <c r="P24" s="85"/>
      <c r="Q24" s="85"/>
      <c r="R24" s="85"/>
      <c r="S24" s="85"/>
      <c r="T24" s="85"/>
      <c r="U24" s="85"/>
      <c r="V24" s="85"/>
      <c r="W24" s="85"/>
      <c r="X24" s="85"/>
      <c r="Y24" s="85"/>
      <c r="Z24" s="85"/>
      <c r="AA24" s="2"/>
    </row>
    <row r="25" spans="1:27" x14ac:dyDescent="0.2">
      <c r="A25" s="967" t="s">
        <v>198</v>
      </c>
      <c r="B25" s="967"/>
      <c r="C25" s="476"/>
      <c r="D25" s="477"/>
      <c r="E25" s="478"/>
      <c r="F25" s="478"/>
      <c r="G25" s="478"/>
      <c r="H25" s="478"/>
      <c r="I25" s="478"/>
      <c r="J25" s="478"/>
      <c r="K25" s="403"/>
      <c r="L25" s="403"/>
      <c r="M25" s="403"/>
      <c r="N25" s="134" t="s">
        <v>193</v>
      </c>
      <c r="O25" s="85"/>
      <c r="P25" s="85"/>
      <c r="Q25" s="85"/>
      <c r="R25" s="85"/>
      <c r="S25" s="85"/>
      <c r="T25" s="85"/>
      <c r="U25" s="85"/>
      <c r="V25" s="85"/>
      <c r="W25" s="85"/>
      <c r="X25" s="85"/>
      <c r="Y25" s="85"/>
      <c r="Z25" s="85"/>
      <c r="AA25" s="2"/>
    </row>
    <row r="26" spans="1:27" x14ac:dyDescent="0.2">
      <c r="A26" s="968" t="s">
        <v>382</v>
      </c>
      <c r="B26" s="968"/>
      <c r="C26" s="479"/>
      <c r="D26" s="480"/>
      <c r="E26" s="98" t="str">
        <f>IF(BG!C21=ISBLANK(0)," ",IF(E22="ja"," ",IF((E16-E19-E20-E21)&lt;0,0,E16-E19-E20-E21)))</f>
        <v xml:space="preserve"> </v>
      </c>
      <c r="F26" s="98" t="str">
        <f>IF(BG!C22=ISBLANK(0)," ",IF(F22="ja"," ",IF((F16-F19-F20-F21)&lt;0,0,F16-F19-F20-F21)))</f>
        <v xml:space="preserve"> </v>
      </c>
      <c r="G26" s="98" t="str">
        <f>IF(BG!C23=ISBLANK(0)," ",IF(G22="ja"," ",IF((G16-G19-G20-G21)&lt;0,0,G16-G19-G20-G21)))</f>
        <v xml:space="preserve"> </v>
      </c>
      <c r="H26" s="98" t="str">
        <f>IF(BG!C24=ISBLANK(0)," ",IF(H22="ja"," ",IF((H16-H19-H20-H21)&lt;0,0,H16-H19-H20-H21)))</f>
        <v xml:space="preserve"> </v>
      </c>
      <c r="I26" s="98" t="str">
        <f>IF(BG!C25=ISBLANK(0)," ",IF(I22="ja"," ",IF((I16-I19-I20-I21)&lt;0,0,I16-I19-I20-I21)))</f>
        <v xml:space="preserve"> </v>
      </c>
      <c r="J26" s="98" t="str">
        <f>IF(BG!C26=ISBLANK(0)," ",IF(J22="ja"," ",IF((J16-J19-J20-J21)&lt;0,0,J16-J19-J20-J21)))</f>
        <v xml:space="preserve"> </v>
      </c>
      <c r="K26" s="98" t="str">
        <f>IF(BG!C27=ISBLANK(0)," ",IF(K22="ja"," ",IF((K16-K19-K20-K21)&lt;0,0,K16-K19-K20-K21)))</f>
        <v xml:space="preserve"> </v>
      </c>
      <c r="L26" s="98" t="str">
        <f>IF(BG!C28=ISBLANK(0)," ",IF(L22="ja"," ",IF((L16-L19-L20-L21)&lt;0,0,L16-L19-L20-L21)))</f>
        <v xml:space="preserve"> </v>
      </c>
      <c r="M26" s="98" t="str">
        <f>IF(BG!C29=ISBLANK(0)," ",IF(M22="ja"," ",IF((M16-M19-M20-M21)&lt;0,0,M16-M19-M20-M21)))</f>
        <v xml:space="preserve"> </v>
      </c>
      <c r="N26" s="134" t="s">
        <v>194</v>
      </c>
      <c r="O26" s="85"/>
      <c r="P26" s="85"/>
      <c r="Q26" s="85"/>
      <c r="R26" s="85"/>
      <c r="S26" s="85"/>
      <c r="T26" s="85"/>
      <c r="U26" s="85"/>
      <c r="V26" s="85"/>
      <c r="W26" s="85"/>
      <c r="X26" s="85"/>
      <c r="Y26" s="85"/>
      <c r="Z26" s="85"/>
      <c r="AA26" s="2"/>
    </row>
    <row r="27" spans="1:27" x14ac:dyDescent="0.2">
      <c r="A27" s="1150" t="s">
        <v>201</v>
      </c>
      <c r="B27" s="1150"/>
      <c r="C27" s="481"/>
      <c r="D27" s="482"/>
      <c r="E27" s="483"/>
      <c r="F27" s="483"/>
      <c r="G27" s="483"/>
      <c r="H27" s="483"/>
      <c r="I27" s="483"/>
      <c r="J27" s="483"/>
      <c r="K27" s="403"/>
      <c r="L27" s="403"/>
      <c r="M27" s="403"/>
      <c r="N27" s="134" t="s">
        <v>195</v>
      </c>
      <c r="O27" s="85"/>
      <c r="P27" s="85"/>
      <c r="Q27" s="85"/>
      <c r="R27" s="85"/>
      <c r="S27" s="85"/>
      <c r="T27" s="85"/>
      <c r="U27" s="85"/>
      <c r="V27" s="85"/>
      <c r="W27" s="85"/>
      <c r="X27" s="85"/>
      <c r="Y27" s="85"/>
      <c r="Z27" s="85"/>
      <c r="AA27" s="2"/>
    </row>
    <row r="28" spans="1:27" x14ac:dyDescent="0.2">
      <c r="A28" s="1151" t="s">
        <v>497</v>
      </c>
      <c r="B28" s="1151"/>
      <c r="C28" s="484"/>
      <c r="D28" s="485"/>
      <c r="E28" s="553" t="str">
        <f>IF(BG!$C21=ISBLANK(0)," ",IF(OR(E22="ja",E26=0),"nein","ja"))</f>
        <v xml:space="preserve"> </v>
      </c>
      <c r="F28" s="552" t="str">
        <f>IF(BG!$C22=ISBLANK(0)," ",IF(OR(F22="ja",F26=0),"nein","ja"))</f>
        <v xml:space="preserve"> </v>
      </c>
      <c r="G28" s="553" t="str">
        <f>IF(BG!$C23=ISBLANK(0)," ",IF(OR(G22="ja",G26=0),"nein","ja"))</f>
        <v xml:space="preserve"> </v>
      </c>
      <c r="H28" s="553" t="str">
        <f>IF(BG!$C24=ISBLANK(0)," ",IF(OR(H22="ja",H26=0),"nein","ja"))</f>
        <v xml:space="preserve"> </v>
      </c>
      <c r="I28" s="553" t="str">
        <f>IF(BG!$C25=ISBLANK(0)," ",IF(OR(I22="ja",I26=0),"nein","ja"))</f>
        <v xml:space="preserve"> </v>
      </c>
      <c r="J28" s="553" t="str">
        <f>IF(BG!$C26=ISBLANK(0)," ",IF(OR(J22="ja",J26=0),"nein","ja"))</f>
        <v xml:space="preserve"> </v>
      </c>
      <c r="K28" s="553" t="str">
        <f>IF(BG!$C27=ISBLANK(0)," ",IF(OR(K22="ja",K26=0),"nein","ja"))</f>
        <v xml:space="preserve"> </v>
      </c>
      <c r="L28" s="553" t="str">
        <f>IF(BG!$C28=ISBLANK(0)," ",IF(OR(L22="ja",L26=0),"nein","ja"))</f>
        <v xml:space="preserve"> </v>
      </c>
      <c r="M28" s="553" t="str">
        <f>IF(BG!$C29=ISBLANK(0)," ",IF(OR(M22="ja",M26=0),"nein","ja"))</f>
        <v xml:space="preserve"> </v>
      </c>
      <c r="N28" s="134" t="s">
        <v>196</v>
      </c>
      <c r="O28" s="85"/>
      <c r="P28" s="85"/>
      <c r="Q28" s="85"/>
      <c r="R28" s="85"/>
      <c r="S28" s="85"/>
      <c r="T28" s="85"/>
      <c r="U28" s="85"/>
      <c r="V28" s="85"/>
      <c r="W28" s="85"/>
      <c r="X28" s="85"/>
      <c r="Y28" s="85"/>
      <c r="Z28" s="85"/>
      <c r="AA28" s="2"/>
    </row>
    <row r="29" spans="1:27" x14ac:dyDescent="0.2">
      <c r="A29" s="958" t="s">
        <v>386</v>
      </c>
      <c r="B29" s="958"/>
      <c r="C29" s="486"/>
      <c r="D29" s="487"/>
      <c r="E29" s="566">
        <f t="shared" ref="E29:M29" si="1">IF(E16=" ",0,IF(OR(E22="ja",E28="nein"),0,ROUND(E16,2)))</f>
        <v>0</v>
      </c>
      <c r="F29" s="566">
        <f t="shared" si="1"/>
        <v>0</v>
      </c>
      <c r="G29" s="566">
        <f t="shared" si="1"/>
        <v>0</v>
      </c>
      <c r="H29" s="566">
        <f t="shared" si="1"/>
        <v>0</v>
      </c>
      <c r="I29" s="566">
        <f t="shared" si="1"/>
        <v>0</v>
      </c>
      <c r="J29" s="566">
        <f t="shared" si="1"/>
        <v>0</v>
      </c>
      <c r="K29" s="566">
        <f t="shared" si="1"/>
        <v>0</v>
      </c>
      <c r="L29" s="566">
        <f t="shared" si="1"/>
        <v>0</v>
      </c>
      <c r="M29" s="566">
        <f t="shared" si="1"/>
        <v>0</v>
      </c>
      <c r="N29" s="1167" t="str">
        <f>IF(SUM(E13:M13,C55:H55)&gt;0,"Da bei einer Person ein abweichender Regelbedarf ausgewählt wurde, bitte prüfen, ob ein anteiliger Mehrbedarf gewährt werden muss. In diesem Fall bitte die Summe der Mehrbedarfe für dieses Kind unter besonderer Bedarf erfassen.","")</f>
        <v/>
      </c>
      <c r="O29" s="1168"/>
      <c r="P29" s="1168"/>
      <c r="Q29" s="1168"/>
      <c r="R29" s="1168"/>
      <c r="S29" s="1168"/>
      <c r="T29" s="1168"/>
      <c r="U29" s="1168"/>
      <c r="V29" s="1168"/>
      <c r="W29" s="2"/>
      <c r="X29" s="2"/>
      <c r="Y29" s="2"/>
      <c r="Z29" s="2"/>
      <c r="AA29" s="2"/>
    </row>
    <row r="30" spans="1:27" x14ac:dyDescent="0.2">
      <c r="A30" s="960" t="s">
        <v>500</v>
      </c>
      <c r="B30" s="960"/>
      <c r="C30" s="488"/>
      <c r="D30" s="489"/>
      <c r="E30" s="563" t="str">
        <f>IF(ISBLANK(BG!$C21),"",IF((E19+E20)&gt;E16,E21,MAX(0,E19+E20+E21-E16)))</f>
        <v/>
      </c>
      <c r="F30" s="563" t="str">
        <f>IF(BG!$C22=ISBLANK(0)," ",IF((F19+F20)&gt;F16,F21,IF(F18+F20+F21-F16&lt;0,0,MAX(0,F19+F20+F21-F16))))</f>
        <v xml:space="preserve"> </v>
      </c>
      <c r="G30" s="563" t="str">
        <f>IF(ISBLANK(BG!$C23),"",IF((G19+G20)&gt;G16,G21,MAX(0,G19+G20+G21-G16)))</f>
        <v/>
      </c>
      <c r="H30" s="563" t="str">
        <f>IF(ISBLANK(BG!$C24),"",IF((H19+H20)&gt;H16,H21,MAX(0,H19+H20+H21-H16)))</f>
        <v/>
      </c>
      <c r="I30" s="563" t="str">
        <f>IF(ISBLANK(BG!$C25),"",IF((I19+I20)&gt;I16,I21,MAX(0,I19+I20+I21-I16)))</f>
        <v/>
      </c>
      <c r="J30" s="563" t="str">
        <f>IF(ISBLANK(BG!$C26),"",IF((J19+J20)&gt;J16,J21,MAX(0,J19+J20+J21-J16)))</f>
        <v/>
      </c>
      <c r="K30" s="563" t="str">
        <f>IF(ISBLANK(BG!$C27),"",IF((K19+K20)&gt;K16,K21,MAX(0,K19+K20+K21-K16)))</f>
        <v/>
      </c>
      <c r="L30" s="563" t="str">
        <f>IF(ISBLANK(BG!$C28),"",IF((L19+L20)&gt;L16,L21,MAX(0,L19+L20+L21-L16)))</f>
        <v/>
      </c>
      <c r="M30" s="563" t="str">
        <f>IF(ISBLANK(BG!$C29),"",IF((M19+M20)&gt;M16,M21,MAX(0,M19+M20+M21-M16)))</f>
        <v/>
      </c>
      <c r="N30" s="1167"/>
      <c r="O30" s="1168"/>
      <c r="P30" s="1168"/>
      <c r="Q30" s="1168"/>
      <c r="R30" s="1168"/>
      <c r="S30" s="1168"/>
      <c r="T30" s="1168"/>
      <c r="U30" s="1168"/>
      <c r="V30" s="1168"/>
      <c r="W30" s="127"/>
      <c r="X30" s="127"/>
      <c r="Y30" s="2"/>
      <c r="Z30" s="2"/>
      <c r="AA30" s="2"/>
    </row>
    <row r="31" spans="1:27" x14ac:dyDescent="0.2">
      <c r="A31" s="1118" t="s">
        <v>386</v>
      </c>
      <c r="B31" s="1119"/>
      <c r="C31" s="561"/>
      <c r="D31" s="562"/>
      <c r="E31" s="564"/>
      <c r="F31" s="564"/>
      <c r="G31" s="564"/>
      <c r="H31" s="564"/>
      <c r="I31" s="564"/>
      <c r="J31" s="564"/>
      <c r="K31" s="564"/>
      <c r="L31" s="564"/>
      <c r="M31" s="564"/>
      <c r="N31" s="127"/>
      <c r="O31" s="127"/>
      <c r="P31" s="127"/>
      <c r="Q31" s="127"/>
      <c r="R31" s="127"/>
      <c r="S31" s="127"/>
      <c r="T31" s="127"/>
      <c r="U31" s="127"/>
      <c r="V31" s="127"/>
      <c r="W31" s="127"/>
      <c r="X31" s="127"/>
      <c r="Y31" s="2"/>
      <c r="Z31" s="2"/>
      <c r="AA31" s="2"/>
    </row>
    <row r="32" spans="1:27" x14ac:dyDescent="0.2">
      <c r="A32" s="1124" t="s">
        <v>501</v>
      </c>
      <c r="B32" s="1125"/>
      <c r="C32" s="561"/>
      <c r="D32" s="562"/>
      <c r="E32" s="565" t="str">
        <f>IF(BG!$C21=ISBLANK(0)," ",IF((E18+E20&gt;E16),E21,IF((E18+E20+E21-E16&lt;=0),0,E18+E20+E21-E16)))</f>
        <v xml:space="preserve"> </v>
      </c>
      <c r="F32" s="565" t="str">
        <f>IF(BG!$C22=ISBLANK(0)," ",IF((F18+F20&gt;F16),F21,IF((F18+F20+F21-F16&lt;=0),0,F18+F20+F21-F16)))</f>
        <v xml:space="preserve"> </v>
      </c>
      <c r="G32" s="565" t="str">
        <f>IF(BG!$C23=ISBLANK(0)," ",IF((G18+G20&gt;G16),G21,IF((G18+G20+G21-G16&lt;=0),0,G18+G20+G21-G16)))</f>
        <v xml:space="preserve"> </v>
      </c>
      <c r="H32" s="565" t="str">
        <f>IF(BG!$C24=ISBLANK(0)," ",IF((H18+H20&gt;H16),H21,IF((H18+H20+H21-H16&lt;=0),0,H18+H20+H21-H16)))</f>
        <v xml:space="preserve"> </v>
      </c>
      <c r="I32" s="565" t="str">
        <f>IF(BG!$C25=ISBLANK(0)," ",IF((I18+I20&gt;I16),I21,IF((I18+I20+I21-I16&lt;=0),0,I18+I20+I21-I16)))</f>
        <v xml:space="preserve"> </v>
      </c>
      <c r="J32" s="565" t="str">
        <f>IF(BG!$C26=ISBLANK(0)," ",IF((J18+J20&gt;J16),J21,IF((J18+J20+J21-J16&lt;=0),0,J18+J20+J21-J16)))</f>
        <v xml:space="preserve"> </v>
      </c>
      <c r="K32" s="565" t="str">
        <f>IF(BG!$C27=ISBLANK(0)," ",IF((K18+K20&gt;K16),K21,IF((K18+K20+K21-K16&lt;=0),0,K18+K20+K21-K16)))</f>
        <v xml:space="preserve"> </v>
      </c>
      <c r="L32" s="565" t="str">
        <f>IF(BG!$C28=ISBLANK(0)," ",IF((L18+L20&gt;L16),L21,IF((L18+L20+L21-L16&lt;=0),0,L18+L20+L21-L16)))</f>
        <v xml:space="preserve"> </v>
      </c>
      <c r="M32" s="565" t="str">
        <f>IF(BG!$C29=ISBLANK(0)," ",IF((M18+M20&gt;M16),M21,IF((M18+M20+M21-M16&lt;=0),0,M18+M20+M21-M16)))</f>
        <v xml:space="preserve"> </v>
      </c>
      <c r="N32" s="127"/>
      <c r="O32" s="127"/>
      <c r="P32" s="127"/>
      <c r="Q32" s="127"/>
      <c r="R32" s="127"/>
      <c r="S32" s="127"/>
      <c r="T32" s="127"/>
      <c r="U32" s="127"/>
      <c r="V32" s="127"/>
      <c r="W32" s="127"/>
      <c r="X32" s="127"/>
      <c r="Y32" s="2"/>
      <c r="Z32" s="2"/>
      <c r="AA32" s="2"/>
    </row>
    <row r="33" spans="1:27" x14ac:dyDescent="0.2">
      <c r="A33" s="1146" t="s">
        <v>298</v>
      </c>
      <c r="B33" s="1147"/>
      <c r="C33" s="478"/>
      <c r="D33" s="478"/>
      <c r="E33" s="85"/>
      <c r="F33" s="85"/>
      <c r="G33" s="85"/>
      <c r="H33" s="85"/>
      <c r="I33" s="85"/>
      <c r="J33" s="85"/>
      <c r="K33" s="85"/>
      <c r="L33" s="85"/>
      <c r="M33" s="85"/>
      <c r="N33" s="127"/>
      <c r="O33" s="127"/>
      <c r="P33" s="127"/>
      <c r="Q33" s="127"/>
      <c r="R33" s="127"/>
      <c r="S33" s="127"/>
      <c r="T33" s="127"/>
      <c r="U33" s="127"/>
      <c r="V33" s="127"/>
      <c r="W33" s="127"/>
      <c r="X33" s="127"/>
      <c r="Y33" s="2"/>
      <c r="Z33" s="2"/>
      <c r="AA33" s="2"/>
    </row>
    <row r="34" spans="1:27" x14ac:dyDescent="0.2">
      <c r="A34" s="1148"/>
      <c r="B34" s="1149"/>
      <c r="C34" s="490" t="e">
        <f>IF(BG!F19="Student",Datenblatt!A93+Datenblatt!A94,Datenblatt!G55+Datenblatt!G59)</f>
        <v>#NUM!</v>
      </c>
      <c r="D34" s="490" t="e">
        <f>IF(BG!D8="alleinerziehend",0,IF(OR(BG!F19="Student",BG!F20="Student"),Datenblatt!B94+Datenblatt!B93,IF(D22="ja",IF(((EP!F119+EP!F120+Datenblatt!C71)-Bedarfe!D16)&lt;0,0,((EP!F119+EP!F120+Datenblatt!C71)-Bedarfe!D16)),(EP!F119+EP!F120+Datenblatt!C71))))</f>
        <v>#NUM!</v>
      </c>
      <c r="E34" s="127"/>
      <c r="F34" s="1136" t="str">
        <f>IF(AND(Kurzantrag!G7&gt;0,(Kurzantrag!C7+Kurzantrag!D7)&lt;30),"Die Versicherungsungspauschale in Höhe von 30,00 wird nicht automatisch vom Kindergeldübertrag abgezogen. Bei Netto-Einkommen des Antragstellers unter 30,00 € muss der Abzugsbetrag hier erfasst werden."," ")</f>
        <v xml:space="preserve"> </v>
      </c>
      <c r="G34" s="1136"/>
      <c r="H34" s="1136"/>
      <c r="I34" s="1136"/>
      <c r="J34" s="1136"/>
      <c r="K34" s="1136"/>
      <c r="L34" s="1136"/>
      <c r="M34" s="127"/>
      <c r="N34" s="141"/>
      <c r="O34" s="141"/>
      <c r="P34" s="639"/>
      <c r="Q34" s="639"/>
      <c r="R34" s="639"/>
      <c r="S34" s="639"/>
      <c r="T34" s="639"/>
      <c r="U34" s="639"/>
      <c r="V34" s="639"/>
      <c r="W34" s="639"/>
      <c r="X34" s="178"/>
      <c r="Y34" s="178"/>
      <c r="Z34" s="178"/>
    </row>
    <row r="35" spans="1:27" s="178" customFormat="1" ht="32.25" customHeight="1" x14ac:dyDescent="0.2">
      <c r="A35" s="1140" t="s">
        <v>502</v>
      </c>
      <c r="B35" s="1141"/>
      <c r="C35" s="129">
        <f>IF(SUM(E30:M30,C72:H72)=0,0,IF(SUM(AS!C31:H31,AS!C42:H42,AS!C47:H47,AS!C52:H52,AS!C57:H57,AS!C62:H62,AS!C67:H67,(AS!C87:H87,AS!C72:H72))&gt;0,SUM(E30:M30,C72:H72),IF(SUM(E30:M30,C72:H72,-30)&lt;0,0,IF(AND(Kurzantrag!G7&gt;0,(Kurzantrag!C7+Kurzantrag!D7)&lt;30),MAX(SUM(E30:M30,C72:H72,-MIN(I36,30))),IF(AND(Kurzantrag!G7&gt;0,(Kurzantrag!C7+Kurzantrag!D7)&gt;30),SUM(E30:M30,C72:H72),SUM(E30:M30,C72:H72,-30))))))</f>
        <v>0</v>
      </c>
      <c r="D35" s="491"/>
      <c r="E35" s="127"/>
      <c r="F35" s="1136"/>
      <c r="G35" s="1136"/>
      <c r="H35" s="1136"/>
      <c r="I35" s="1136"/>
      <c r="J35" s="1136"/>
      <c r="K35" s="1136"/>
      <c r="L35" s="1136"/>
      <c r="M35" s="127"/>
      <c r="N35" s="1142"/>
      <c r="O35" s="1142"/>
      <c r="P35" s="176"/>
      <c r="Q35" s="176"/>
      <c r="R35" s="176"/>
      <c r="S35" s="176"/>
      <c r="T35" s="176"/>
      <c r="U35" s="176"/>
      <c r="V35" s="176"/>
      <c r="W35" s="176"/>
    </row>
    <row r="36" spans="1:27" ht="35.25" customHeight="1" x14ac:dyDescent="0.2">
      <c r="A36" s="1182" t="s">
        <v>503</v>
      </c>
      <c r="B36" s="1183"/>
      <c r="C36" s="567">
        <f>IF(SUM(E32:M32,C74:H74)=0,0,IF(SUM(AS!C31:H31,AS!C42:H42,AS!C47:H47,AS!C52:H52,AS!C57:H57,AS!C62:H62,AS!C67:H67,(AS!C87:H87,AS!C72:H72))&gt;0,SUM(E32:M32,C74:H74),IF(SUM(E32:M32,C74:H74,-30)&lt;0,0,IF(AND(Kurzantrag!G7&gt;0,(Kurzantrag!C7+Kurzantrag!D7)&lt;30),MAX(SUM(E32:M32,C74:H74,-MIN(I36,30))),IF(AND(Kurzantrag!G7&gt;0,(Kurzantrag!C7+Kurzantrag!D7)&gt;30),SUM(E32:M32,C74:H74),SUM(E32:M32,C74:H74,-30))))))</f>
        <v>0</v>
      </c>
      <c r="D36" s="491"/>
      <c r="E36" s="127"/>
      <c r="F36" s="640" t="str">
        <f>IF(AND(Kurzantrag!G7&gt;0,(Kurzantrag!C7+Kurzantrag!D7)&lt;30),"Höhe des Abzugs (maximal 30,00 ):"," ")</f>
        <v xml:space="preserve"> </v>
      </c>
      <c r="G36" s="127"/>
      <c r="H36" s="141"/>
      <c r="I36" s="641"/>
      <c r="J36" s="1137" t="str">
        <f>IF(AND(Kurzantrag!G7&gt;0,(Kurzantrag!C7+Kurzantrag!D7)&lt;30),"Bitte hier eintragen, in welcher Höhe die Versicherungspauschale vom Kindergeldübertrag abgezogen werden soll.","")</f>
        <v/>
      </c>
      <c r="K36" s="1137"/>
      <c r="L36" s="1137"/>
      <c r="M36" s="1137"/>
      <c r="N36" s="170"/>
      <c r="O36" s="170"/>
      <c r="P36" s="170"/>
      <c r="Q36" s="170"/>
      <c r="R36" s="170"/>
      <c r="S36" s="170"/>
      <c r="T36" s="170"/>
      <c r="U36" s="170"/>
      <c r="V36" s="170"/>
      <c r="W36" s="170"/>
      <c r="X36" s="178"/>
      <c r="Y36" s="178"/>
      <c r="Z36" s="178"/>
    </row>
    <row r="37" spans="1:27" x14ac:dyDescent="0.2">
      <c r="A37" s="85"/>
      <c r="B37" s="85"/>
      <c r="C37" s="85"/>
      <c r="D37" s="85"/>
      <c r="E37" s="85"/>
      <c r="F37" s="127"/>
      <c r="G37" s="127"/>
      <c r="H37" s="127"/>
      <c r="I37" s="141"/>
      <c r="J37" s="1137"/>
      <c r="K37" s="1137"/>
      <c r="L37" s="1137"/>
      <c r="M37" s="1137"/>
      <c r="N37" s="141"/>
      <c r="O37" s="141"/>
      <c r="P37" s="639"/>
      <c r="Q37" s="639"/>
      <c r="R37" s="639"/>
      <c r="S37" s="639"/>
      <c r="T37" s="639"/>
      <c r="U37" s="639"/>
      <c r="V37" s="177"/>
      <c r="W37" s="177"/>
      <c r="X37" s="178"/>
      <c r="Y37" s="178"/>
      <c r="Z37" s="178"/>
    </row>
    <row r="38" spans="1:27" x14ac:dyDescent="0.2">
      <c r="A38" s="85"/>
      <c r="B38" s="85"/>
      <c r="C38" s="85"/>
      <c r="D38" s="85"/>
      <c r="E38" s="85"/>
      <c r="F38" s="85"/>
      <c r="G38" s="85"/>
      <c r="H38" s="85"/>
      <c r="I38" s="85"/>
      <c r="J38" s="85"/>
      <c r="K38" s="85"/>
      <c r="L38" s="85"/>
      <c r="M38" s="85"/>
      <c r="N38" s="1142"/>
      <c r="O38" s="1142"/>
      <c r="P38" s="176"/>
      <c r="Q38" s="176"/>
      <c r="R38" s="176"/>
      <c r="S38" s="176"/>
      <c r="T38" s="176"/>
      <c r="U38" s="176"/>
      <c r="V38" s="170"/>
      <c r="W38" s="170"/>
      <c r="X38" s="178"/>
      <c r="Y38" s="178"/>
      <c r="Z38" s="178"/>
    </row>
    <row r="39" spans="1:27" ht="15" x14ac:dyDescent="0.25">
      <c r="A39" s="438" t="s">
        <v>413</v>
      </c>
      <c r="B39" s="85"/>
      <c r="C39" s="85"/>
      <c r="D39" s="85"/>
      <c r="E39" s="85"/>
      <c r="F39" s="85"/>
      <c r="G39" s="85"/>
      <c r="H39" s="85"/>
      <c r="I39" s="85"/>
      <c r="J39" s="85"/>
      <c r="K39" s="85"/>
      <c r="L39" s="85"/>
      <c r="M39" s="85"/>
      <c r="N39" s="178"/>
      <c r="O39" s="178"/>
      <c r="P39" s="178"/>
      <c r="Q39" s="178"/>
      <c r="R39" s="178"/>
      <c r="S39" s="178"/>
      <c r="T39" s="178"/>
      <c r="U39" s="178"/>
      <c r="V39" s="178"/>
      <c r="W39" s="178"/>
      <c r="X39" s="178"/>
      <c r="Y39" s="178"/>
      <c r="Z39" s="178"/>
    </row>
    <row r="40" spans="1:27" x14ac:dyDescent="0.2">
      <c r="A40" s="85"/>
      <c r="B40" s="85"/>
      <c r="C40" s="85"/>
      <c r="D40" s="85"/>
      <c r="E40" s="85"/>
      <c r="F40" s="85"/>
      <c r="G40" s="85"/>
      <c r="H40" s="85"/>
      <c r="I40" s="85"/>
      <c r="J40" s="85"/>
      <c r="K40" s="85"/>
      <c r="L40" s="85"/>
      <c r="M40" s="85"/>
      <c r="N40" s="178"/>
      <c r="O40" s="178"/>
      <c r="P40" s="178"/>
      <c r="Q40" s="178"/>
      <c r="R40" s="178"/>
      <c r="S40" s="178"/>
      <c r="T40" s="178"/>
      <c r="U40" s="178"/>
      <c r="V40" s="178"/>
      <c r="W40" s="178"/>
      <c r="X40" s="178"/>
      <c r="Y40" s="178"/>
      <c r="Z40" s="178"/>
    </row>
    <row r="41" spans="1:27" x14ac:dyDescent="0.2">
      <c r="A41" s="85"/>
      <c r="B41" s="85"/>
      <c r="C41" s="85"/>
      <c r="D41" s="85"/>
      <c r="E41" s="85"/>
      <c r="F41" s="85"/>
      <c r="G41" s="85"/>
      <c r="H41" s="85"/>
      <c r="I41" s="85"/>
      <c r="J41" s="85"/>
      <c r="K41" s="85"/>
      <c r="L41" s="85"/>
      <c r="M41" s="85"/>
      <c r="N41" s="178"/>
      <c r="O41" s="178"/>
      <c r="P41" s="178"/>
      <c r="Q41" s="178"/>
      <c r="R41" s="178"/>
      <c r="S41" s="178"/>
      <c r="T41" s="178"/>
      <c r="U41" s="178"/>
      <c r="V41" s="178"/>
      <c r="W41" s="178"/>
      <c r="X41" s="178"/>
      <c r="Y41" s="178"/>
      <c r="Z41" s="178"/>
    </row>
    <row r="42" spans="1:27" x14ac:dyDescent="0.2">
      <c r="A42" s="85"/>
      <c r="B42" s="85"/>
      <c r="C42" s="85"/>
      <c r="D42" s="85"/>
      <c r="E42" s="85"/>
      <c r="F42" s="85"/>
      <c r="G42" s="85"/>
      <c r="H42" s="85"/>
      <c r="I42" s="85"/>
      <c r="J42" s="85"/>
      <c r="K42" s="85"/>
      <c r="L42" s="85"/>
      <c r="M42" s="85"/>
      <c r="N42" s="178"/>
      <c r="O42" s="178"/>
      <c r="P42" s="178"/>
      <c r="Q42" s="178"/>
      <c r="R42" s="178"/>
      <c r="S42" s="178"/>
      <c r="T42" s="178"/>
      <c r="U42" s="178"/>
      <c r="V42" s="178"/>
      <c r="W42" s="178"/>
      <c r="X42" s="178"/>
      <c r="Y42" s="178"/>
      <c r="Z42" s="178"/>
    </row>
    <row r="43" spans="1:27" x14ac:dyDescent="0.2">
      <c r="A43" s="85"/>
      <c r="B43" s="85"/>
      <c r="C43" s="85"/>
      <c r="D43" s="85"/>
      <c r="E43" s="85"/>
      <c r="F43" s="85"/>
      <c r="G43" s="85"/>
      <c r="H43" s="85"/>
      <c r="I43" s="85"/>
      <c r="J43" s="85"/>
      <c r="K43" s="85"/>
      <c r="L43" s="85"/>
      <c r="M43" s="85"/>
      <c r="N43" s="178"/>
      <c r="O43" s="178"/>
      <c r="P43" s="178"/>
      <c r="Q43" s="178"/>
      <c r="R43" s="178"/>
      <c r="S43" s="178"/>
      <c r="T43" s="178"/>
      <c r="U43" s="178"/>
      <c r="V43" s="178"/>
      <c r="W43" s="178"/>
      <c r="X43" s="178"/>
      <c r="Y43" s="178"/>
      <c r="Z43" s="178"/>
    </row>
    <row r="44" spans="1:27" x14ac:dyDescent="0.2">
      <c r="A44" s="85"/>
      <c r="B44" s="85"/>
      <c r="C44" s="85"/>
      <c r="D44" s="85"/>
      <c r="E44" s="85"/>
      <c r="F44" s="85"/>
      <c r="G44" s="85"/>
      <c r="H44" s="85"/>
      <c r="I44" s="85"/>
      <c r="J44" s="85"/>
      <c r="K44" s="85"/>
      <c r="L44" s="85"/>
      <c r="M44" s="85"/>
      <c r="N44" s="178"/>
      <c r="O44" s="178"/>
      <c r="P44" s="178"/>
      <c r="Q44" s="178"/>
      <c r="R44" s="178"/>
      <c r="S44" s="178"/>
      <c r="T44" s="178"/>
      <c r="U44" s="178"/>
      <c r="V44" s="178"/>
      <c r="W44" s="178"/>
      <c r="X44" s="178"/>
      <c r="Y44" s="178"/>
      <c r="Z44" s="178"/>
    </row>
    <row r="45" spans="1:27" x14ac:dyDescent="0.2">
      <c r="A45" s="85"/>
      <c r="B45" s="85"/>
      <c r="C45" s="85"/>
      <c r="D45" s="85"/>
      <c r="E45" s="85"/>
      <c r="F45" s="85"/>
      <c r="G45" s="85"/>
      <c r="H45" s="85"/>
      <c r="I45" s="85"/>
      <c r="J45" s="85"/>
      <c r="K45" s="85"/>
      <c r="L45" s="85"/>
      <c r="M45" s="85"/>
      <c r="N45" s="178"/>
      <c r="O45" s="178"/>
      <c r="P45" s="178"/>
      <c r="Q45" s="178"/>
      <c r="R45" s="178"/>
      <c r="S45" s="178"/>
      <c r="T45" s="178"/>
      <c r="U45" s="178"/>
      <c r="V45" s="178"/>
      <c r="W45" s="178"/>
      <c r="X45" s="178"/>
      <c r="Y45" s="178"/>
      <c r="Z45" s="178"/>
    </row>
    <row r="46" spans="1:27" x14ac:dyDescent="0.2">
      <c r="A46" s="85"/>
      <c r="B46" s="85"/>
      <c r="C46" s="439" t="s">
        <v>343</v>
      </c>
      <c r="D46" s="439" t="s">
        <v>344</v>
      </c>
      <c r="E46" s="439" t="s">
        <v>345</v>
      </c>
      <c r="F46" s="439" t="s">
        <v>378</v>
      </c>
      <c r="G46" s="439" t="s">
        <v>379</v>
      </c>
      <c r="H46" s="439" t="s">
        <v>380</v>
      </c>
      <c r="I46" s="85"/>
      <c r="J46" s="85"/>
      <c r="K46" s="85"/>
      <c r="L46" s="85"/>
      <c r="M46" s="85"/>
      <c r="N46" s="178"/>
      <c r="O46" s="178"/>
      <c r="P46" s="178"/>
      <c r="Q46" s="178"/>
      <c r="R46" s="178"/>
      <c r="S46" s="178"/>
      <c r="T46" s="178"/>
      <c r="U46" s="178"/>
      <c r="V46" s="178"/>
      <c r="W46" s="178"/>
      <c r="X46" s="178"/>
      <c r="Y46" s="178"/>
      <c r="Z46" s="178"/>
    </row>
    <row r="47" spans="1:27" x14ac:dyDescent="0.2">
      <c r="A47" s="1102" t="s">
        <v>143</v>
      </c>
      <c r="B47" s="1104"/>
      <c r="C47" s="451"/>
      <c r="D47" s="451"/>
      <c r="E47" s="451"/>
      <c r="F47" s="451"/>
      <c r="G47" s="451"/>
      <c r="H47" s="419"/>
      <c r="I47" s="85"/>
      <c r="J47" s="85"/>
      <c r="K47" s="85"/>
      <c r="L47" s="85"/>
      <c r="M47" s="85"/>
      <c r="N47" s="178"/>
      <c r="O47" s="178"/>
      <c r="P47" s="178"/>
      <c r="Q47" s="178"/>
      <c r="R47" s="178"/>
      <c r="S47" s="178"/>
      <c r="T47" s="178"/>
      <c r="U47" s="178"/>
      <c r="V47" s="178"/>
      <c r="W47" s="178"/>
      <c r="X47" s="178"/>
      <c r="Y47" s="178"/>
      <c r="Z47" s="178"/>
    </row>
    <row r="48" spans="1:27" x14ac:dyDescent="0.2">
      <c r="A48" s="1131" t="s">
        <v>144</v>
      </c>
      <c r="B48" s="1132"/>
      <c r="C48" s="94" t="str">
        <f>IF(R15="."," ",IF(R15="kein Anspruch"," ",Datenblatt!M43))</f>
        <v xml:space="preserve"> </v>
      </c>
      <c r="D48" s="94" t="str">
        <f>IF(S15="."," ",IF(S15="kein Anspruch"," ",Datenblatt!N43))</f>
        <v xml:space="preserve"> </v>
      </c>
      <c r="E48" s="94" t="str">
        <f>IF(T15="."," ",IF(T15="kein Anspruch"," ",Datenblatt!O43))</f>
        <v xml:space="preserve"> </v>
      </c>
      <c r="F48" s="94" t="str">
        <f>IF(U15="."," ",IF(U15="kein Anspruch"," ",Datenblatt!P43))</f>
        <v xml:space="preserve"> </v>
      </c>
      <c r="G48" s="94" t="str">
        <f>IF(V15="."," ",IF(V15="kein Anspruch"," ",Datenblatt!Q43))</f>
        <v xml:space="preserve"> </v>
      </c>
      <c r="H48" s="94" t="str">
        <f>IF(W15="."," ",IF(W15="kein Anspruch"," ",Datenblatt!R43))</f>
        <v xml:space="preserve"> </v>
      </c>
      <c r="I48" s="85"/>
      <c r="J48" s="85"/>
      <c r="K48" s="85"/>
      <c r="L48" s="85"/>
      <c r="M48" s="85"/>
      <c r="N48" s="178"/>
      <c r="O48" s="178"/>
      <c r="P48" s="178"/>
      <c r="Q48" s="178"/>
      <c r="R48" s="178"/>
      <c r="S48" s="178"/>
      <c r="T48" s="178"/>
      <c r="U48" s="178"/>
      <c r="V48" s="178"/>
      <c r="W48" s="178"/>
      <c r="X48" s="178"/>
      <c r="Y48" s="178"/>
      <c r="Z48" s="178"/>
    </row>
    <row r="49" spans="1:26" x14ac:dyDescent="0.2">
      <c r="A49" s="1131" t="s">
        <v>146</v>
      </c>
      <c r="B49" s="1132"/>
      <c r="C49" s="94" t="str">
        <f>IF(R18="."," ",IF(R18="kein Anspruch"," ",IF(R18="Anspruch",Datenblatt!L44*35%)))</f>
        <v xml:space="preserve"> </v>
      </c>
      <c r="D49" s="94" t="str">
        <f>IF(S18="."," ",IF(S18="kein Anspruch"," ",IF(S18="Anspruch",Datenblatt!M44*35%)))</f>
        <v xml:space="preserve"> </v>
      </c>
      <c r="E49" s="94" t="str">
        <f>IF(T18="."," ",IF(T18="kein Anspruch"," ",IF(T18="Anspruch",Datenblatt!N44*35%)))</f>
        <v xml:space="preserve"> </v>
      </c>
      <c r="F49" s="94" t="str">
        <f>IF(U18="."," ",IF(U18="kein Anspruch"," ",IF(U18="Anspruch",Datenblatt!O44*35%)))</f>
        <v xml:space="preserve"> </v>
      </c>
      <c r="G49" s="94" t="str">
        <f>IF(V18="."," ",IF(V18="kein Anspruch"," ",IF(V18="Anspruch",Datenblatt!P44*35%)))</f>
        <v xml:space="preserve"> </v>
      </c>
      <c r="H49" s="94" t="str">
        <f>IF(W18="."," ",IF(W18="kein Anspruch"," ",IF(W18="Anspruch",Datenblatt!Q44*35%)))</f>
        <v xml:space="preserve"> </v>
      </c>
      <c r="I49" s="85"/>
      <c r="J49" s="85"/>
      <c r="K49" s="85"/>
      <c r="L49" s="85"/>
      <c r="M49" s="85"/>
      <c r="N49" s="178"/>
      <c r="O49" s="178"/>
      <c r="P49" s="178"/>
      <c r="Q49" s="178"/>
      <c r="R49" s="178"/>
      <c r="S49" s="178"/>
      <c r="T49" s="178"/>
      <c r="U49" s="178"/>
      <c r="V49" s="178"/>
      <c r="W49" s="178"/>
      <c r="X49" s="178"/>
      <c r="Y49" s="178"/>
      <c r="Z49" s="178"/>
    </row>
    <row r="50" spans="1:26" x14ac:dyDescent="0.2">
      <c r="A50" s="1131" t="s">
        <v>147</v>
      </c>
      <c r="B50" s="1132"/>
      <c r="C50" s="443" t="str">
        <f>IF(R20="5 %.",Datenblatt!$B$5*5%,IF(R20="10 %.",Datenblatt!$B$5*10%,IF(R20="15 %.",Datenblatt!$B$5*15%,IF(R20="20 %.",Datenblatt!$B$5*20%,IF(R20="25 %.",Datenblatt!$B$5*25%,IF(R20="30 %.",Datenblatt!$B$5*30%,IF(R20="35 %.",Datenblatt!$B$5*35%," ")))))))</f>
        <v xml:space="preserve"> </v>
      </c>
      <c r="D50" s="443" t="str">
        <f>IF(S20="5 %.",Datenblatt!$B$5*5%,IF(S20="10 %.",Datenblatt!$B$5*10%,IF(S20="15 %.",Datenblatt!$B$5*15%,IF(S20="20 %.",Datenblatt!$B$5*20%,IF(S20="25 %.",Datenblatt!$B$5*25%,IF(S20="30 %.",Datenblatt!$B$5*30%,IF(S20="35 %.",Datenblatt!$B$5*35%," ")))))))</f>
        <v xml:space="preserve"> </v>
      </c>
      <c r="E50" s="443" t="str">
        <f>IF(T20="5 %.",Datenblatt!$B$5*5%,IF(T20="10 %.",Datenblatt!$B$5*10%,IF(T20="15 %.",Datenblatt!$B$5*15%,IF(T20="20 %.",Datenblatt!$B$5*20%,IF(T20="25 %.",Datenblatt!$B$5*25%,IF(T20="30 %.",Datenblatt!$B$5*30%,IF(T20="35 %.",Datenblatt!$B$5*35%," ")))))))</f>
        <v xml:space="preserve"> </v>
      </c>
      <c r="F50" s="443" t="str">
        <f>IF(U20="5 %.",Datenblatt!$B$5*5%,IF(U20="10 %.",Datenblatt!$B$5*10%,IF(U20="15 %.",Datenblatt!$B$5*15%,IF(U20="20 %.",Datenblatt!$B$5*20%,IF(U20="25 %.",Datenblatt!$B$5*25%,IF(U20="30 %.",Datenblatt!$B$5*30%,IF(U20="35 %.",Datenblatt!$B$5*35%," ")))))))</f>
        <v xml:space="preserve"> </v>
      </c>
      <c r="G50" s="443" t="str">
        <f>IF(V20="5 %.",Datenblatt!$B$5*5%,IF(V20="10 %.",Datenblatt!$B$5*10%,IF(V20="15 %.",Datenblatt!$B$5*15%,IF(V20="20 %.",Datenblatt!$B$5*20%,IF(V20="25 %.",Datenblatt!$B$5*25%,IF(V20="30 %.",Datenblatt!$B$5*30%,IF(V20="35 %.",Datenblatt!$B$5*35%," ")))))))</f>
        <v xml:space="preserve"> </v>
      </c>
      <c r="H50" s="443" t="str">
        <f>IF(W20="5 %.",Datenblatt!$B$5*5%,IF(W20="10 %.",Datenblatt!$B$5*10%,IF(W20="15 %.",Datenblatt!$B$5*15%,IF(W20="20 %.",Datenblatt!$B$5*20%,IF(W20="25 %.",Datenblatt!$B$5*25%,IF(W20="30 %.",Datenblatt!$B$5*30%,IF(W20="35 %.",Datenblatt!$B$5*35%," ")))))))</f>
        <v xml:space="preserve"> </v>
      </c>
      <c r="I50" s="85"/>
      <c r="J50" s="85"/>
      <c r="K50" s="85"/>
      <c r="L50" s="85"/>
      <c r="M50" s="85"/>
      <c r="N50" s="127"/>
      <c r="O50" s="127"/>
      <c r="P50" s="127"/>
      <c r="Q50" s="141"/>
      <c r="R50" s="141"/>
      <c r="S50" s="141"/>
      <c r="T50" s="141"/>
      <c r="U50" s="141"/>
      <c r="V50" s="141"/>
      <c r="W50" s="141"/>
      <c r="X50" s="178"/>
      <c r="Y50" s="178"/>
      <c r="Z50" s="178"/>
    </row>
    <row r="51" spans="1:26" x14ac:dyDescent="0.2">
      <c r="A51" s="1131" t="s">
        <v>148</v>
      </c>
      <c r="B51" s="1132"/>
      <c r="C51" s="94" t="str">
        <f>IF(R21="."," ",IF(R21="kein Anspruch"," ",IF(R21="Anspruch",Datenblatt!M44*17%)))</f>
        <v xml:space="preserve"> </v>
      </c>
      <c r="D51" s="94" t="str">
        <f>IF(S21="."," ",IF(S21="kein Anspruch"," ",IF(S21="Anspruch",Datenblatt!N44*17%)))</f>
        <v xml:space="preserve"> </v>
      </c>
      <c r="E51" s="94" t="str">
        <f>IF(T21="."," ",IF(T21="kein Anspruch"," ",IF(T21="Anspruch",Datenblatt!O44*17%)))</f>
        <v xml:space="preserve"> </v>
      </c>
      <c r="F51" s="94" t="str">
        <f>IF(U21="."," ",IF(U21="kein Anspruch"," ",IF(U21="Anspruch",Datenblatt!P44*17%)))</f>
        <v xml:space="preserve"> </v>
      </c>
      <c r="G51" s="94" t="str">
        <f>IF(V21="."," ",IF(V21="kein Anspruch"," ",IF(V21="Anspruch",Datenblatt!Q44*17%)))</f>
        <v xml:space="preserve"> </v>
      </c>
      <c r="H51" s="94" t="str">
        <f>IF(W21="."," ",IF(W21="kein Anspruch"," ",IF(W21="Anspruch",Datenblatt!R44*17%)))</f>
        <v xml:space="preserve"> </v>
      </c>
      <c r="I51" s="85"/>
      <c r="J51" s="85"/>
      <c r="K51" s="85"/>
      <c r="L51" s="85"/>
      <c r="M51" s="85"/>
      <c r="N51" s="178"/>
      <c r="O51" s="127"/>
      <c r="P51" s="127"/>
      <c r="Q51" s="127"/>
      <c r="R51" s="127"/>
      <c r="S51" s="127"/>
      <c r="T51" s="127"/>
      <c r="U51" s="127"/>
      <c r="V51" s="127"/>
      <c r="W51" s="127"/>
      <c r="X51" s="178"/>
      <c r="Y51" s="178"/>
      <c r="Z51" s="178"/>
    </row>
    <row r="52" spans="1:26" x14ac:dyDescent="0.2">
      <c r="A52" s="1131" t="s">
        <v>149</v>
      </c>
      <c r="B52" s="1132"/>
      <c r="C52" s="440"/>
      <c r="D52" s="440"/>
      <c r="E52" s="440"/>
      <c r="F52" s="440"/>
      <c r="G52" s="440"/>
      <c r="H52" s="440"/>
      <c r="I52" s="85"/>
      <c r="J52" s="85"/>
      <c r="K52" s="85"/>
      <c r="L52" s="85"/>
      <c r="M52" s="85"/>
      <c r="N52" s="178"/>
      <c r="O52" s="178"/>
      <c r="P52" s="127"/>
      <c r="Q52" s="127"/>
      <c r="R52" s="127"/>
      <c r="S52" s="127"/>
      <c r="T52" s="127"/>
      <c r="U52" s="127"/>
      <c r="V52" s="127"/>
      <c r="W52" s="127"/>
      <c r="X52" s="178"/>
      <c r="Y52" s="178"/>
      <c r="Z52" s="178"/>
    </row>
    <row r="53" spans="1:26" ht="15" thickBot="1" x14ac:dyDescent="0.25">
      <c r="A53" s="1187" t="s">
        <v>150</v>
      </c>
      <c r="B53" s="1188"/>
      <c r="C53" s="403" t="str">
        <f>IF(BG!C30=ISBLANK(0)," ",IF(AND(BdU!K8="bitte auswählen",Kurzantrag!G10="bitte auswählen")," ",IF(BdU!K8="nein"," ",IF(Kurzantrag!G10="nein","",Datenblatt!K37))))</f>
        <v xml:space="preserve"> </v>
      </c>
      <c r="D53" s="403" t="str">
        <f>IF(BG!C31=ISBLANK(0)," ",IF(AND(BdU!K8="bitte auswählen",Kurzantrag!G10="bitte auswählen")," ",IF(BdU!K8="nein"," ",IF(Kurzantrag!G10="nein","",Datenblatt!L37))))</f>
        <v xml:space="preserve"> </v>
      </c>
      <c r="E53" s="403" t="str">
        <f>IF(BG!C32=ISBLANK(0)," ",IF(AND(BdU!K8="bitte auswählen",Kurzantrag!G10="bitte auswählen")," ",IF(BdU!K8="nein"," ",IF(Kurzantrag!G10="nein","",Datenblatt!M37))))</f>
        <v xml:space="preserve"> </v>
      </c>
      <c r="F53" s="403" t="str">
        <f>IF(BG!C33=ISBLANK(0)," ",IF(AND(BdU!K8="bitte auswählen",Kurzantrag!G10="bitte auswählen")," ",IF(BdU!K8="nein"," ",IF(Kurzantrag!G10="nein","",Datenblatt!N37))))</f>
        <v xml:space="preserve"> </v>
      </c>
      <c r="G53" s="403" t="str">
        <f>IF(BG!C34=ISBLANK(0)," ",IF(AND(BdU!K8="bitte auswählen",Kurzantrag!G10="bitte auswählen")," ",IF(BdU!K8="nein"," ",IF(Kurzantrag!G10="nein","",Datenblatt!O37))))</f>
        <v xml:space="preserve"> </v>
      </c>
      <c r="H53" s="403" t="str">
        <f>IF(BG!C35=ISBLANK(0)," ",IF(AND(BdU!K8="bitte auswählen",Kurzantrag!G10="bitte auswählen")," ",IF(BdU!K8="nein"," ",IF(Kurzantrag!G10="nein","",Datenblatt!P37))))</f>
        <v xml:space="preserve"> </v>
      </c>
      <c r="I53" s="85"/>
      <c r="J53" s="85"/>
      <c r="K53" s="85"/>
      <c r="L53" s="85"/>
      <c r="M53" s="85"/>
      <c r="N53" s="178"/>
      <c r="O53" s="178"/>
      <c r="P53" s="178"/>
      <c r="Q53" s="178"/>
      <c r="R53" s="178"/>
      <c r="S53" s="178"/>
      <c r="T53" s="178"/>
      <c r="U53" s="178"/>
      <c r="V53" s="178"/>
      <c r="W53" s="178"/>
      <c r="X53" s="178"/>
      <c r="Y53" s="178"/>
      <c r="Z53" s="178"/>
    </row>
    <row r="54" spans="1:26" x14ac:dyDescent="0.2">
      <c r="A54" s="1189" t="s">
        <v>151</v>
      </c>
      <c r="B54" s="1190"/>
      <c r="C54" s="492" t="str">
        <f>IF(C55&gt;0,0,IF(BG!C30=ISBLANK(0)," ",IF(BG!D30&lt;6,Datenblatt!B8,IF(BG!D30&lt;14,Datenblatt!B10,IF(BG!D30&lt;18,Datenblatt!B12,IF(BG!D30&lt;25,Datenblatt!B14,IF(BG!D30&gt;24,0)))))))</f>
        <v xml:space="preserve"> </v>
      </c>
      <c r="D54" s="492" t="str">
        <f>IF(D55&gt;0,0,IF(BG!C31=ISBLANK(0)," ",IF(BG!D31&lt;6,Datenblatt!B8,IF(BG!D31&lt;14,Datenblatt!B10,IF(BG!D31&lt;18,Datenblatt!B12,IF(BG!D31&lt;25,Datenblatt!B14,IF(BG!D31&gt;24,0)))))))</f>
        <v xml:space="preserve"> </v>
      </c>
      <c r="E54" s="493" t="str">
        <f>IF(E55&gt;0,0,IF(BG!C32=ISBLANK(0)," ",IF(BG!D32&lt;6,Datenblatt!B8,IF(BG!D32&lt;14,Datenblatt!B10,IF(BG!D32&lt;18,Datenblatt!B12,IF(BG!D32&lt;25,Datenblatt!B14,IF(BG!D32&gt;24,0)))))))</f>
        <v xml:space="preserve"> </v>
      </c>
      <c r="F54" s="492" t="str">
        <f>IF(F55&gt;0,0,IF(BG!C33=ISBLANK(0)," ",IF(BG!D33&lt;6,Datenblatt!B8,IF(BG!D33&lt;14,Datenblatt!B10,IF(BG!D33&lt;18,Datenblatt!B12,IF(BG!D33&lt;25,Datenblatt!B14,IF(BG!D33&gt;24,0)))))))</f>
        <v xml:space="preserve"> </v>
      </c>
      <c r="G54" s="492" t="str">
        <f>IF(G55&gt;0,0,IF(BG!C34=ISBLANK(0)," ",IF(BG!D34&lt;6,Datenblatt!B8,IF(BG!D34&lt;14,Datenblatt!B10,IF(BG!D34&lt;18,Datenblatt!B12,IF(BG!D34&lt;25,Datenblatt!B14,IF(BG!D34&gt;24,0)))))))</f>
        <v xml:space="preserve"> </v>
      </c>
      <c r="H54" s="494" t="str">
        <f>IF(FH3&gt;0,0,IF(BG!C35=ISBLANK(0)," ",IF(BG!D35&lt;6,Datenblatt!B8,IF(BG!D35&lt;14,Datenblatt!B10,IF(BG!D35&lt;18,Datenblatt!B12,IF(BG!D35&lt;25,Datenblatt!B14,IF(BG!D35&gt;24,0)))))))</f>
        <v xml:space="preserve"> </v>
      </c>
      <c r="I54" s="85"/>
      <c r="J54" s="85"/>
      <c r="K54" s="85"/>
      <c r="L54" s="85"/>
      <c r="M54" s="85"/>
      <c r="N54" s="178"/>
      <c r="O54" s="178"/>
      <c r="P54" s="178"/>
      <c r="Q54" s="178"/>
      <c r="R54" s="178"/>
      <c r="S54" s="178"/>
      <c r="T54" s="178"/>
      <c r="U54" s="178"/>
      <c r="V54" s="178"/>
      <c r="W54" s="178"/>
      <c r="X54" s="178"/>
      <c r="Y54" s="178"/>
      <c r="Z54" s="178"/>
    </row>
    <row r="55" spans="1:26" x14ac:dyDescent="0.2">
      <c r="A55" s="1143" t="s">
        <v>176</v>
      </c>
      <c r="B55" s="1132"/>
      <c r="C55" s="440"/>
      <c r="D55" s="440"/>
      <c r="E55" s="495"/>
      <c r="F55" s="440"/>
      <c r="G55" s="440"/>
      <c r="H55" s="463"/>
      <c r="I55" s="85"/>
      <c r="J55" s="85"/>
      <c r="K55" s="85"/>
      <c r="L55" s="85"/>
      <c r="M55" s="85"/>
      <c r="N55" s="178"/>
      <c r="O55" s="178"/>
      <c r="P55" s="178"/>
      <c r="Q55" s="178"/>
      <c r="R55" s="178"/>
      <c r="S55" s="178"/>
      <c r="T55" s="178"/>
      <c r="U55" s="178"/>
      <c r="V55" s="178"/>
      <c r="W55" s="178"/>
      <c r="X55" s="178"/>
      <c r="Y55" s="178"/>
      <c r="Z55" s="178"/>
    </row>
    <row r="56" spans="1:26" x14ac:dyDescent="0.2">
      <c r="A56" s="1133" t="s">
        <v>152</v>
      </c>
      <c r="B56" s="1104"/>
      <c r="C56" s="94" t="str">
        <f>IF(BG!C30=ISBLANK(0)," ",IF(BG!D30&gt;24,0,IF(SUM(C48:C53)&gt;Datenblatt!B5,Datenblatt!B5+C52+C53,SUM(C47:C53))))</f>
        <v xml:space="preserve"> </v>
      </c>
      <c r="D56" s="94" t="str">
        <f>IF(BG!C31=ISBLANK(0)," ",IF(BG!D31&gt;24,0,IF(SUM(D47:D53)&gt;Datenblatt!B5,Datenblatt!B5+D52+D53,SUM(D47:D53))))</f>
        <v xml:space="preserve"> </v>
      </c>
      <c r="E56" s="447" t="str">
        <f>IF(BG!C32=ISBLANK(0)," ",IF(BG!D32&gt;24,0,IF(SUM(E47:E53)&gt;Datenblatt!B5,Datenblatt!B5+E52+E53,SUM(E47:E53))))</f>
        <v xml:space="preserve"> </v>
      </c>
      <c r="F56" s="447" t="str">
        <f>IF(BG!C33=ISBLANK(0)," ",IF(BG!D33&gt;24,0,IF(SUM(F47:F53)&gt;Datenblatt!B5,Datenblatt!B5+F52+F53,SUM(F47:F53))))</f>
        <v xml:space="preserve"> </v>
      </c>
      <c r="G56" s="447" t="str">
        <f>IF(BG!C34=ISBLANK(0)," ",IF(BG!D34&gt;24,0,IF(SUM(G47:G53)&gt;Datenblatt!B5,Datenblatt!B5+G52+G53,SUM(G47:G53))))</f>
        <v xml:space="preserve"> </v>
      </c>
      <c r="H56" s="464" t="str">
        <f>IF(BG!C35=ISBLANK(0)," ",IF(BG!D35&gt;24,0,IF(SUM(H47:H53)&gt;Datenblatt!B5,Datenblatt!B5+H52+H53,SUM(H47:H53))))</f>
        <v xml:space="preserve"> </v>
      </c>
      <c r="I56" s="85"/>
      <c r="J56" s="85"/>
      <c r="K56" s="85"/>
      <c r="L56" s="85"/>
      <c r="M56" s="85"/>
      <c r="N56" s="178"/>
      <c r="O56" s="178"/>
      <c r="P56" s="178"/>
      <c r="Q56" s="178"/>
      <c r="R56" s="178"/>
      <c r="S56" s="178"/>
      <c r="T56" s="178"/>
      <c r="U56" s="178"/>
      <c r="V56" s="178"/>
      <c r="W56" s="178"/>
      <c r="X56" s="178"/>
      <c r="Y56" s="178"/>
      <c r="Z56" s="178"/>
    </row>
    <row r="57" spans="1:26" x14ac:dyDescent="0.2">
      <c r="A57" s="1133" t="s">
        <v>153</v>
      </c>
      <c r="B57" s="1104"/>
      <c r="C57" s="94" t="str">
        <f>IF(BG!C30=ISBLANK(0)," ",IF(Datenblatt!N74&gt;24,0,IF(AND(BdU!C7&gt;0,Kurzantrag!G7&lt;=0),(BdU!C7/BdU!K5),IF(AND(BdU!C7&gt;0,Kurzantrag!G7&gt;0),(BdU!C7/Kurzantrag!G7),IF(BdU!C32=0,0,(BdU!C32/BdU!K5))))))</f>
        <v xml:space="preserve"> </v>
      </c>
      <c r="D57" s="94" t="str">
        <f>IF(BG!C31=ISBLANK(0)," ",IF(Datenblatt!O74&gt;24,0,IF(AND(BdU!C7&gt;0,Kurzantrag!G7&lt;=0),(BdU!C7/BdU!K5),IF(AND(BdU!C7&gt;0,Kurzantrag!G7&gt;0),(BdU!C7/Kurzantrag!G7),IF(BdU!C32=0,0,(BdU!C32/BdU!K5))))))</f>
        <v xml:space="preserve"> </v>
      </c>
      <c r="E57" s="447" t="str">
        <f>IF(BG!C32=ISBLANK(0)," ",IF(Datenblatt!P74&gt;24,0,IF(AND(BdU!C7&gt;0,Kurzantrag!G7&lt;=0),(BdU!C7/BdU!K5),IF(AND(BdU!C7&gt;0,Kurzantrag!G7&gt;0),(BdU!C7/Kurzantrag!G7),IF(BdU!C32=0,0,(BdU!C32/BdU!K5))))))</f>
        <v xml:space="preserve"> </v>
      </c>
      <c r="F57" s="94" t="str">
        <f>IF(BG!C33=ISBLANK(0)," ",IF(Datenblatt!Q74&gt;24,0,IF(AND(BdU!C7&gt;0,Kurzantrag!G7&lt;=0),(BdU!C7/BdU!K5),IF(AND(BdU!C7&gt;0,Kurzantrag!G7&gt;0),(BdU!C7/Kurzantrag!G7),IF(BdU!C32=0,0,(BdU!C32/BdU!K5))))))</f>
        <v xml:space="preserve"> </v>
      </c>
      <c r="G57" s="94" t="str">
        <f>IF(BG!C34=ISBLANK(0)," ",IF(Datenblatt!R74&gt;24,0,IF(AND(BdU!C7&gt;0,Kurzantrag!G7&lt;=0),(BdU!C7/BdU!K5),IF(AND(BdU!C7&gt;0,Kurzantrag!G7&gt;0),(BdU!C7/Kurzantrag!G7),IF(BdU!C32=0,0,(BdU!C32/BdU!K5))))))</f>
        <v xml:space="preserve"> </v>
      </c>
      <c r="H57" s="464" t="str">
        <f>IF(BG!C35=ISBLANK(0)," ",IF(Datenblatt!S74&gt;24,0,IF(AND(BdU!C7&gt;0,Kurzantrag!G7&lt;=0),(BdU!C7/BdU!K5),IF(AND(BdU!C7&gt;0,Kurzantrag!G7&gt;0),(BdU!C7/Kurzantrag!G7),IF(BdU!C32=0,0,(BdU!C32/BdU!K5))))))</f>
        <v xml:space="preserve"> </v>
      </c>
      <c r="I57" s="85"/>
      <c r="J57" s="85"/>
      <c r="K57" s="85"/>
      <c r="L57" s="85"/>
      <c r="M57" s="85"/>
      <c r="N57" s="178"/>
      <c r="O57" s="178"/>
      <c r="P57" s="178"/>
      <c r="Q57" s="178"/>
      <c r="R57" s="178"/>
      <c r="S57" s="178"/>
      <c r="T57" s="178"/>
      <c r="U57" s="178"/>
      <c r="V57" s="178"/>
      <c r="W57" s="178"/>
      <c r="X57" s="178"/>
      <c r="Y57" s="178"/>
      <c r="Z57" s="178"/>
    </row>
    <row r="58" spans="1:26" ht="15" thickBot="1" x14ac:dyDescent="0.25">
      <c r="A58" s="1185" t="s">
        <v>154</v>
      </c>
      <c r="B58" s="1186"/>
      <c r="C58" s="465" t="str">
        <f>IF(BG!C30=ISBLANK(0)," ",ROUND(SUM(C54:C57),2))</f>
        <v xml:space="preserve"> </v>
      </c>
      <c r="D58" s="465" t="str">
        <f>IF(BG!C31=ISBLANK(0)," ",ROUND(SUM(D54:D57),2))</f>
        <v xml:space="preserve"> </v>
      </c>
      <c r="E58" s="496" t="str">
        <f>IF(BG!C32=ISBLANK(0)," ",ROUND(SUM(E54:E57),2))</f>
        <v xml:space="preserve"> </v>
      </c>
      <c r="F58" s="465" t="str">
        <f>IF(BG!C33=ISBLANK(0)," ",ROUND(SUM(F54:F57),2))</f>
        <v xml:space="preserve"> </v>
      </c>
      <c r="G58" s="465" t="str">
        <f>IF(BG!C34=ISBLANK(0)," ",ROUND(SUM(G54:G57),2))</f>
        <v xml:space="preserve"> </v>
      </c>
      <c r="H58" s="466" t="str">
        <f>IF(BG!C35=ISBLANK(0)," ",ROUND(SUM(H54:H57),2))</f>
        <v xml:space="preserve"> </v>
      </c>
      <c r="I58" s="85"/>
      <c r="J58" s="85"/>
      <c r="K58" s="85"/>
      <c r="L58" s="85"/>
      <c r="M58" s="85"/>
      <c r="N58" s="178"/>
      <c r="O58" s="178"/>
      <c r="P58" s="178"/>
      <c r="Q58" s="178"/>
      <c r="R58" s="178"/>
      <c r="S58" s="178"/>
      <c r="T58" s="178"/>
      <c r="U58" s="178"/>
      <c r="V58" s="178"/>
      <c r="W58" s="178"/>
      <c r="X58" s="178"/>
      <c r="Y58" s="178"/>
      <c r="Z58" s="178"/>
    </row>
    <row r="59" spans="1:26" x14ac:dyDescent="0.2">
      <c r="A59" s="85"/>
      <c r="B59" s="85"/>
      <c r="C59" s="766"/>
      <c r="D59" s="766"/>
      <c r="E59" s="766"/>
      <c r="F59" s="766"/>
      <c r="G59" s="766"/>
      <c r="H59" s="766"/>
      <c r="I59" s="85"/>
      <c r="J59" s="85"/>
      <c r="K59" s="85"/>
      <c r="L59" s="85"/>
      <c r="M59" s="85"/>
      <c r="N59" s="178"/>
      <c r="O59" s="178"/>
      <c r="P59" s="178"/>
      <c r="Q59" s="178"/>
      <c r="R59" s="178"/>
      <c r="S59" s="178"/>
      <c r="T59" s="178"/>
      <c r="U59" s="178"/>
      <c r="V59" s="178"/>
      <c r="W59" s="178"/>
      <c r="X59" s="178"/>
      <c r="Y59" s="178"/>
      <c r="Z59" s="178"/>
    </row>
    <row r="60" spans="1:26" ht="15" customHeight="1" x14ac:dyDescent="0.2">
      <c r="A60" s="969" t="s">
        <v>383</v>
      </c>
      <c r="B60" s="969"/>
      <c r="C60" s="94" t="str">
        <f>IF(BG!C30=ISBLANK(0)," ",IF(Kurzantrag!C21&gt;0,C61*100/45,'K10'!F113))</f>
        <v xml:space="preserve"> </v>
      </c>
      <c r="D60" s="94" t="str">
        <f>IF(BG!C31=ISBLANK(0)," ",IF(Kurzantrag!C22&gt;0,D61*100/45,'K11'!F113))</f>
        <v xml:space="preserve"> </v>
      </c>
      <c r="E60" s="94" t="str">
        <f>IF(BG!C32=ISBLANK(0)," ",IF(Kurzantrag!C23&gt;0,E61*100/45,'K12'!F113))</f>
        <v xml:space="preserve"> </v>
      </c>
      <c r="F60" s="94" t="str">
        <f>IF(BG!C33=ISBLANK(0)," ",IF(Kurzantrag!C24&gt;0,F61*100/45,'K13'!F113))</f>
        <v xml:space="preserve"> </v>
      </c>
      <c r="G60" s="94" t="str">
        <f>IF(BG!C34=ISBLANK(0)," ",IF(Kurzantrag!C25&gt;0,G61*100/45,'K14'!F113))</f>
        <v xml:space="preserve"> </v>
      </c>
      <c r="H60" s="94" t="str">
        <f>IF(BG!C35=ISBLANK(0)," ",IF(Kurzantrag!C26&gt;0,H61*100/45,'K15'!F113))</f>
        <v xml:space="preserve"> </v>
      </c>
      <c r="I60" s="85"/>
      <c r="J60" s="85"/>
      <c r="K60" s="85"/>
      <c r="L60" s="85"/>
      <c r="M60" s="85"/>
      <c r="N60" s="178"/>
      <c r="O60" s="178"/>
      <c r="P60" s="178"/>
      <c r="Q60" s="178"/>
      <c r="R60" s="178"/>
      <c r="S60" s="178"/>
      <c r="T60" s="178"/>
      <c r="U60" s="178"/>
      <c r="V60" s="178"/>
      <c r="W60" s="178"/>
      <c r="X60" s="178"/>
      <c r="Y60" s="178"/>
      <c r="Z60" s="178"/>
    </row>
    <row r="61" spans="1:26" ht="15" customHeight="1" x14ac:dyDescent="0.2">
      <c r="A61" s="1102" t="s">
        <v>384</v>
      </c>
      <c r="B61" s="1104"/>
      <c r="C61" s="94" t="str">
        <f>IF(BG!C30=ISBLANK(0)," ",'K10'!H121)</f>
        <v xml:space="preserve"> </v>
      </c>
      <c r="D61" s="94" t="str">
        <f>IF(BG!C31=ISBLANK(0)," ",'K11'!H121)</f>
        <v xml:space="preserve"> </v>
      </c>
      <c r="E61" s="94" t="str">
        <f>IF(BG!C32=ISBLANK(0)," ",'K12'!H121)</f>
        <v xml:space="preserve"> </v>
      </c>
      <c r="F61" s="94" t="str">
        <f>IF(BG!C33=ISBLANK(0)," ",'K13'!H121)</f>
        <v xml:space="preserve"> </v>
      </c>
      <c r="G61" s="94" t="str">
        <f>IF(BG!C34=ISBLANK(0)," ",'K14'!H121)</f>
        <v xml:space="preserve"> </v>
      </c>
      <c r="H61" s="94" t="str">
        <f>IF(BG!C35=ISBLANK(0)," ",'K15'!H121)</f>
        <v xml:space="preserve"> </v>
      </c>
      <c r="I61" s="85"/>
      <c r="J61" s="85"/>
      <c r="K61" s="85"/>
      <c r="L61" s="85"/>
      <c r="M61" s="85"/>
      <c r="N61" s="178"/>
      <c r="O61" s="178"/>
      <c r="P61" s="178"/>
      <c r="Q61" s="178"/>
      <c r="R61" s="178"/>
      <c r="S61" s="178"/>
      <c r="T61" s="178"/>
      <c r="U61" s="178"/>
      <c r="V61" s="178"/>
      <c r="W61" s="178"/>
      <c r="X61" s="178"/>
      <c r="Y61" s="178"/>
      <c r="Z61" s="178"/>
    </row>
    <row r="62" spans="1:26" x14ac:dyDescent="0.2">
      <c r="A62" s="1102" t="s">
        <v>199</v>
      </c>
      <c r="B62" s="1104"/>
      <c r="C62" s="85" t="str">
        <f>IF(BG!C30=ISBLANK(0)," ",Vermögen!G34)</f>
        <v xml:space="preserve"> </v>
      </c>
      <c r="D62" s="94" t="str">
        <f>IF(BG!C31=ISBLANK(0)," ",Vermögen!H34)</f>
        <v xml:space="preserve"> </v>
      </c>
      <c r="E62" s="94" t="str">
        <f>IF(BG!C32=ISBLANK(0)," ",Vermögen!I34)</f>
        <v xml:space="preserve"> </v>
      </c>
      <c r="F62" s="94" t="str">
        <f>IF(BG!C33=ISBLANK(0)," ",Vermögen!J34)</f>
        <v xml:space="preserve"> </v>
      </c>
      <c r="G62" s="94" t="str">
        <f>IF(BG!C34=ISBLANK(0)," ",Vermögen!K34)</f>
        <v xml:space="preserve"> </v>
      </c>
      <c r="H62" s="94" t="str">
        <f>IF(BG!C35=ISBLANK(0)," ",Vermögen!L34)</f>
        <v xml:space="preserve"> </v>
      </c>
      <c r="I62" s="85"/>
      <c r="J62" s="85"/>
      <c r="K62" s="85"/>
      <c r="L62" s="85"/>
      <c r="M62" s="85"/>
      <c r="N62" s="178"/>
      <c r="O62" s="178"/>
      <c r="P62" s="178"/>
      <c r="Q62" s="178"/>
      <c r="R62" s="178"/>
      <c r="S62" s="178"/>
      <c r="T62" s="178"/>
      <c r="U62" s="178"/>
      <c r="V62" s="178"/>
      <c r="W62" s="178"/>
      <c r="X62" s="178"/>
      <c r="Y62" s="178"/>
      <c r="Z62" s="178"/>
    </row>
    <row r="63" spans="1:26" ht="14.25" customHeight="1" x14ac:dyDescent="0.2">
      <c r="A63" s="1102" t="s">
        <v>197</v>
      </c>
      <c r="B63" s="1104"/>
      <c r="C63" s="440">
        <v>255</v>
      </c>
      <c r="D63" s="440">
        <v>255</v>
      </c>
      <c r="E63" s="440">
        <v>255</v>
      </c>
      <c r="F63" s="440">
        <v>255</v>
      </c>
      <c r="G63" s="440">
        <v>255</v>
      </c>
      <c r="H63" s="440">
        <v>255</v>
      </c>
      <c r="I63" s="85"/>
      <c r="J63" s="85"/>
      <c r="K63" s="85"/>
      <c r="L63" s="85"/>
      <c r="M63" s="85"/>
      <c r="N63" s="178"/>
      <c r="O63" s="178"/>
      <c r="P63" s="178"/>
      <c r="Q63" s="178"/>
      <c r="R63" s="178"/>
      <c r="S63" s="178"/>
      <c r="T63" s="178"/>
      <c r="U63" s="178"/>
      <c r="V63" s="178"/>
      <c r="W63" s="178"/>
      <c r="X63" s="178"/>
      <c r="Y63" s="178"/>
      <c r="Z63" s="178"/>
    </row>
    <row r="64" spans="1:26" x14ac:dyDescent="0.2">
      <c r="A64" s="964" t="s">
        <v>279</v>
      </c>
      <c r="B64" s="965"/>
      <c r="C64" s="473" t="str">
        <f>IF(BG!C30=ISBLANK(0)," ",IF(BG!F30=".","nein",IF(BG!F30="nein","nein",IF(BG!F30="Rentner","ja",IF(BG!F30="Aufenthalt","ja",IF(BG!F30="Student","ja"))))))</f>
        <v xml:space="preserve"> </v>
      </c>
      <c r="D64" s="473" t="str">
        <f>IF(BG!C31=ISBLANK(0)," ",IF(BG!F31=".","nein",IF(BG!F31="nein","nein",IF(BG!F31="Rentner","ja",IF(BG!F31="Aufenthalt","ja",IF(BG!F31="Student","ja"))))))</f>
        <v xml:space="preserve"> </v>
      </c>
      <c r="E64" s="473" t="str">
        <f>IF(BG!C32=ISBLANK(0)," ",IF(BG!F32=".","nein",IF(BG!F32="nein","nein",IF(BG!F32="Rentner","ja",IF(BG!F32="Aufenthalt","ja",IF(BG!F32="Student","ja"))))))</f>
        <v xml:space="preserve"> </v>
      </c>
      <c r="F64" s="237" t="str">
        <f>IF(BG!C33=ISBLANK(0)," ",IF(BG!F33=".","nein",IF(BG!F33="nein","nein",IF(BG!F33="Rentner","ja",IF(BG!F33="Aufenthalt","ja",IF(BG!F33="Student","ja"))))))</f>
        <v xml:space="preserve"> </v>
      </c>
      <c r="G64" s="237" t="str">
        <f>IF(BG!C34=ISBLANK(0)," ",IF(BG!F34=".","nein",IF(BG!F34="nein","nein",IF(BG!F34="Rentner","ja",IF(BG!F34="Aufenthalt","ja",IF(BG!F34="Student","ja"))))))</f>
        <v xml:space="preserve"> </v>
      </c>
      <c r="H64" s="237" t="str">
        <f>IF(BG!C35=ISBLANK(0)," ",IF(BG!F35=".","nein",IF(BG!F35="nein","nein",IF(BG!F35="Rentner","ja",IF(BG!F35="Aufenthalt","ja",IF(BG!F35="Student","ja"))))))</f>
        <v xml:space="preserve"> </v>
      </c>
      <c r="I64" s="85"/>
      <c r="J64" s="85"/>
      <c r="K64" s="85"/>
      <c r="L64" s="85"/>
      <c r="M64" s="422"/>
      <c r="N64" s="178"/>
      <c r="O64" s="178"/>
      <c r="P64" s="178"/>
      <c r="Q64" s="178"/>
      <c r="R64" s="178"/>
      <c r="S64" s="178"/>
      <c r="T64" s="178"/>
      <c r="U64" s="178"/>
      <c r="V64" s="178"/>
      <c r="W64" s="178"/>
      <c r="X64" s="178"/>
      <c r="Y64" s="178"/>
      <c r="Z64" s="178"/>
    </row>
    <row r="65" spans="1:26" ht="15" x14ac:dyDescent="0.25">
      <c r="A65" s="1134" t="s">
        <v>198</v>
      </c>
      <c r="B65" s="1134"/>
      <c r="C65" s="474"/>
      <c r="D65" s="474"/>
      <c r="E65" s="474"/>
      <c r="F65" s="478"/>
      <c r="G65" s="478"/>
      <c r="H65" s="478"/>
      <c r="I65" s="85"/>
      <c r="J65" s="85"/>
      <c r="K65" s="85"/>
      <c r="L65" s="85"/>
      <c r="M65" s="422"/>
      <c r="N65" s="178"/>
      <c r="O65" s="178"/>
      <c r="P65" s="178"/>
      <c r="Q65" s="178"/>
      <c r="R65" s="178"/>
      <c r="S65" s="178"/>
      <c r="T65" s="178"/>
      <c r="U65" s="178"/>
      <c r="V65" s="178"/>
      <c r="W65" s="178"/>
      <c r="X65" s="178"/>
      <c r="Y65" s="178"/>
      <c r="Z65" s="178"/>
    </row>
    <row r="66" spans="1:26" ht="15" x14ac:dyDescent="0.25">
      <c r="A66" s="1135" t="s">
        <v>381</v>
      </c>
      <c r="B66" s="1135"/>
      <c r="C66" s="475" t="str">
        <f>IF(BG!C30=ISBLANK(0)," ",IF(C64="ja"," ",IF(C58-C62-C63-C60&lt;0,0,C58-C62-C63-C60)))</f>
        <v xml:space="preserve"> </v>
      </c>
      <c r="D66" s="475" t="str">
        <f>IF(BG!C31=ISBLANK(0)," ",IF(D64="ja"," ",IF(D58-D60-D62-D63&lt;0,0,D58-D60-D62-D63)))</f>
        <v xml:space="preserve"> </v>
      </c>
      <c r="E66" s="475" t="str">
        <f>IF(BG!C32=ISBLANK(0)," ",IF(E64="ja"," ",IF(E58-E60-E62-E63&lt;0,0,E58-E60-E62-E63)))</f>
        <v xml:space="preserve"> </v>
      </c>
      <c r="F66" s="475" t="str">
        <f>IF(BG!C33=ISBLANK(0)," ",IF(F64="ja"," ",IF(F58-F60-F62-F63&lt;0,0,F58-F60-F62-F63)))</f>
        <v xml:space="preserve"> </v>
      </c>
      <c r="G66" s="475" t="str">
        <f>IF(BG!C34=ISBLANK(0)," ",IF(G64="ja"," ",IF(G58-G60-G62-G63&lt;0,0,G58-G60-G62-G63)))</f>
        <v xml:space="preserve"> </v>
      </c>
      <c r="H66" s="475" t="str">
        <f>IF(BG!C35=ISBLANK(0)," ",IF(H64="ja"," ",IF(H58-H60-H62-H63&lt;0,0,H58-H60-H62-H63)))</f>
        <v xml:space="preserve"> </v>
      </c>
      <c r="I66" s="85"/>
      <c r="J66" s="85"/>
      <c r="K66" s="85"/>
      <c r="L66" s="85"/>
      <c r="M66" s="422"/>
      <c r="N66" s="178"/>
      <c r="O66" s="178"/>
      <c r="P66" s="178"/>
      <c r="Q66" s="178"/>
      <c r="R66" s="178"/>
      <c r="S66" s="178"/>
      <c r="T66" s="178"/>
      <c r="U66" s="178"/>
      <c r="V66" s="178"/>
      <c r="W66" s="178"/>
      <c r="X66" s="178"/>
      <c r="Y66" s="178"/>
      <c r="Z66" s="178"/>
    </row>
    <row r="67" spans="1:26" x14ac:dyDescent="0.2">
      <c r="A67" s="1084" t="s">
        <v>198</v>
      </c>
      <c r="B67" s="1086"/>
      <c r="C67" s="403"/>
      <c r="D67" s="403"/>
      <c r="E67" s="403"/>
      <c r="F67" s="478"/>
      <c r="G67" s="478"/>
      <c r="H67" s="478"/>
      <c r="I67" s="85"/>
      <c r="J67" s="85"/>
      <c r="K67" s="85"/>
      <c r="L67" s="85"/>
      <c r="M67" s="422"/>
      <c r="N67" s="178"/>
      <c r="O67" s="178"/>
      <c r="P67" s="178"/>
      <c r="Q67" s="178"/>
      <c r="R67" s="178"/>
      <c r="S67" s="178"/>
      <c r="T67" s="178"/>
      <c r="U67" s="178"/>
      <c r="V67" s="178"/>
      <c r="W67" s="178"/>
      <c r="X67" s="178"/>
      <c r="Y67" s="178"/>
      <c r="Z67" s="178"/>
    </row>
    <row r="68" spans="1:26" x14ac:dyDescent="0.2">
      <c r="A68" s="1081" t="s">
        <v>382</v>
      </c>
      <c r="B68" s="1083"/>
      <c r="C68" s="98" t="str">
        <f>IF(BG!C30=ISBLANK(0)," ",IF(C64="ja",0,IF((C58-C61-C62-C63)&lt;0,0,C58-C61-C62-C63)))</f>
        <v xml:space="preserve"> </v>
      </c>
      <c r="D68" s="98" t="str">
        <f>IF(BG!C31=ISBLANK(0)," ",IF(D64="ja",0,IF((D58-D61-D62-D63)&lt;0,0,D58-D61-D62-D63)))</f>
        <v xml:space="preserve"> </v>
      </c>
      <c r="E68" s="98" t="str">
        <f>IF(BG!C32=ISBLANK(0)," ",IF(E64="ja",0,IF((E58-E61-E62-E63)&lt;0,0,E58-E61-E62-E63)))</f>
        <v xml:space="preserve"> </v>
      </c>
      <c r="F68" s="98" t="str">
        <f>IF(BG!C33=ISBLANK(0)," ",IF(F64="ja",0,IF((F58-F61-F62-F63)&lt;0,0,F58-F61-F62-F63)))</f>
        <v xml:space="preserve"> </v>
      </c>
      <c r="G68" s="98" t="str">
        <f>IF(BG!C34=ISBLANK(0)," ",IF(G64="ja",0,IF((G58-G61-G62-G63)&lt;0,0,G58-G61-G62-G63)))</f>
        <v xml:space="preserve"> </v>
      </c>
      <c r="H68" s="98" t="str">
        <f>IF(BG!C35=ISBLANK(0)," ",IF(H64="ja",0,IF((H58-H61-H62-H63)&lt;0,0,H58-H61-H62-H63)))</f>
        <v xml:space="preserve"> </v>
      </c>
      <c r="I68" s="85"/>
      <c r="J68" s="85"/>
      <c r="K68" s="85"/>
      <c r="L68" s="85"/>
      <c r="M68" s="422"/>
      <c r="N68" s="178"/>
      <c r="O68" s="178"/>
      <c r="P68" s="178"/>
      <c r="Q68" s="178"/>
      <c r="R68" s="178"/>
      <c r="S68" s="178"/>
      <c r="T68" s="178"/>
      <c r="U68" s="178"/>
      <c r="V68" s="178"/>
      <c r="W68" s="178"/>
      <c r="X68" s="178"/>
      <c r="Y68" s="178"/>
      <c r="Z68" s="178"/>
    </row>
    <row r="69" spans="1:26" x14ac:dyDescent="0.2">
      <c r="A69" s="1093" t="s">
        <v>201</v>
      </c>
      <c r="B69" s="1094"/>
      <c r="C69" s="403"/>
      <c r="D69" s="403"/>
      <c r="E69" s="403"/>
      <c r="F69" s="478"/>
      <c r="G69" s="478"/>
      <c r="H69" s="478"/>
      <c r="I69" s="85"/>
      <c r="J69" s="85"/>
      <c r="K69" s="85"/>
      <c r="L69" s="85"/>
      <c r="M69" s="422"/>
      <c r="N69" s="178"/>
      <c r="O69" s="178"/>
      <c r="P69" s="178"/>
      <c r="Q69" s="178"/>
      <c r="R69" s="178"/>
      <c r="S69" s="178"/>
      <c r="T69" s="178"/>
      <c r="U69" s="178"/>
      <c r="V69" s="178"/>
      <c r="W69" s="178"/>
      <c r="X69" s="178"/>
      <c r="Y69" s="178"/>
      <c r="Z69" s="178"/>
    </row>
    <row r="70" spans="1:26" x14ac:dyDescent="0.2">
      <c r="A70" s="1088" t="s">
        <v>497</v>
      </c>
      <c r="B70" s="1089"/>
      <c r="C70" s="553" t="str">
        <f>IF(BG!$C30=ISBLANK(0)," ",IF(OR(C64="ja",C68=0),"nein","ja"))</f>
        <v xml:space="preserve"> </v>
      </c>
      <c r="D70" s="553" t="str">
        <f>IF(BG!$C31=ISBLANK(0)," ",IF(OR(D64="ja",D68=0),"nein","ja"))</f>
        <v xml:space="preserve"> </v>
      </c>
      <c r="E70" s="553" t="str">
        <f>IF(BG!$C32=ISBLANK(0)," ",IF(OR(E64="ja",E68=0),"nein","ja"))</f>
        <v xml:space="preserve"> </v>
      </c>
      <c r="F70" s="553" t="str">
        <f>IF(BG!$C33=ISBLANK(0)," ",IF(OR(F64="ja",F68=0),"nein","ja"))</f>
        <v xml:space="preserve"> </v>
      </c>
      <c r="G70" s="553" t="str">
        <f>IF(BG!$C34=ISBLANK(0)," ",IF(OR(G64="ja",G68=0),"nein","ja"))</f>
        <v xml:space="preserve"> </v>
      </c>
      <c r="H70" s="553" t="str">
        <f>IF(BG!$C35=ISBLANK(0)," ",IF(OR(H64="ja",H68=0),"nein","ja"))</f>
        <v xml:space="preserve"> </v>
      </c>
      <c r="I70" s="85"/>
      <c r="J70" s="85"/>
      <c r="K70" s="85"/>
      <c r="L70" s="85"/>
      <c r="M70" s="422"/>
      <c r="N70" s="178"/>
      <c r="O70" s="178"/>
      <c r="P70" s="178"/>
      <c r="Q70" s="178"/>
      <c r="R70" s="178"/>
      <c r="S70" s="178"/>
      <c r="T70" s="178"/>
      <c r="U70" s="178"/>
      <c r="V70" s="178"/>
      <c r="W70" s="178"/>
      <c r="X70" s="178"/>
      <c r="Y70" s="178"/>
      <c r="Z70" s="178"/>
    </row>
    <row r="71" spans="1:26" x14ac:dyDescent="0.2">
      <c r="A71" s="958" t="s">
        <v>386</v>
      </c>
      <c r="B71" s="958"/>
      <c r="C71" s="566">
        <f t="shared" ref="C71:H71" si="2">IF(C58=" ",0,IF(OR(C64="ja",C70="nein"),0,ROUND(C58,2)))</f>
        <v>0</v>
      </c>
      <c r="D71" s="566">
        <f t="shared" si="2"/>
        <v>0</v>
      </c>
      <c r="E71" s="566">
        <f t="shared" si="2"/>
        <v>0</v>
      </c>
      <c r="F71" s="566">
        <f t="shared" si="2"/>
        <v>0</v>
      </c>
      <c r="G71" s="566">
        <f t="shared" si="2"/>
        <v>0</v>
      </c>
      <c r="H71" s="566">
        <f t="shared" si="2"/>
        <v>0</v>
      </c>
      <c r="I71" s="85"/>
      <c r="J71" s="85"/>
      <c r="K71" s="85"/>
      <c r="L71" s="85"/>
      <c r="M71" s="422"/>
      <c r="N71" s="178"/>
      <c r="O71" s="178"/>
      <c r="P71" s="178"/>
      <c r="Q71" s="178"/>
      <c r="R71" s="178"/>
      <c r="S71" s="178"/>
      <c r="T71" s="178"/>
      <c r="U71" s="178"/>
      <c r="V71" s="178"/>
      <c r="W71" s="178"/>
      <c r="X71" s="178"/>
      <c r="Y71" s="178"/>
      <c r="Z71" s="178"/>
    </row>
    <row r="72" spans="1:26" x14ac:dyDescent="0.2">
      <c r="A72" s="960" t="s">
        <v>500</v>
      </c>
      <c r="B72" s="960"/>
      <c r="C72" s="563" t="str">
        <f>IF(ISBLANK(BG!$C30),"",IF((C61+C62)&gt;C58,C63,MAX(0,C61+C62+C63-C58)))</f>
        <v/>
      </c>
      <c r="D72" s="563" t="str">
        <f>IF(ISBLANK(BG!$C31),"",IF((D61+D62)&gt;D58,D63,MAX(0,D61+D62+D63-D58)))</f>
        <v/>
      </c>
      <c r="E72" s="563" t="str">
        <f>IF(ISBLANK(BG!$C32),"",IF((E61+E62)&gt;E58,E63,MAX(0,E61+E62+E63-E58)))</f>
        <v/>
      </c>
      <c r="F72" s="563" t="str">
        <f>IF(ISBLANK(BG!$C33),"",IF((F61+F62)&gt;F58,F63,MAX(0,F61+F62+F63-F58)))</f>
        <v/>
      </c>
      <c r="G72" s="563" t="str">
        <f>IF(ISBLANK(BG!$C34),"",IF((G61+G62)&gt;G58,G63,MAX(0,G61+G62+G63-G58)))</f>
        <v/>
      </c>
      <c r="H72" s="563" t="str">
        <f>IF(ISBLANK(BG!$C35),"",IF((H61+H62)&gt;H58,H63,MAX(0,H61+H62+H63-H58)))</f>
        <v/>
      </c>
      <c r="I72" s="93">
        <f>IF(D58=" ",0,IF(OR(D64="ja",D70="nein"),0,D68+D63+D61+D62))</f>
        <v>0</v>
      </c>
      <c r="J72" s="85"/>
      <c r="K72" s="85"/>
      <c r="L72" s="85"/>
      <c r="M72" s="422"/>
      <c r="N72" s="178"/>
      <c r="O72" s="178"/>
      <c r="P72" s="178"/>
      <c r="Q72" s="178"/>
      <c r="R72" s="178"/>
      <c r="S72" s="178"/>
      <c r="T72" s="178"/>
      <c r="U72" s="178"/>
      <c r="V72" s="178"/>
      <c r="W72" s="178"/>
      <c r="X72" s="178"/>
      <c r="Y72" s="178"/>
      <c r="Z72" s="178"/>
    </row>
    <row r="73" spans="1:26" x14ac:dyDescent="0.2">
      <c r="A73" s="1184" t="s">
        <v>504</v>
      </c>
      <c r="B73" s="1119"/>
      <c r="C73" s="564"/>
      <c r="D73" s="564"/>
      <c r="E73" s="564"/>
      <c r="F73" s="564"/>
      <c r="G73" s="564"/>
      <c r="H73" s="564"/>
      <c r="I73" s="93"/>
      <c r="J73" s="85"/>
      <c r="K73" s="85"/>
      <c r="L73" s="85"/>
      <c r="M73" s="422"/>
      <c r="N73" s="178"/>
      <c r="O73" s="178"/>
      <c r="P73" s="178"/>
      <c r="Q73" s="178"/>
      <c r="R73" s="178"/>
      <c r="S73" s="178"/>
      <c r="T73" s="178"/>
      <c r="U73" s="178"/>
      <c r="V73" s="178"/>
      <c r="W73" s="178"/>
      <c r="X73" s="178"/>
      <c r="Y73" s="178"/>
      <c r="Z73" s="178"/>
    </row>
    <row r="74" spans="1:26" x14ac:dyDescent="0.2">
      <c r="A74" s="1124"/>
      <c r="B74" s="1125"/>
      <c r="C74" s="565" t="str">
        <f>IF(BG!$C30=ISBLANK(0)," ",IF((C60+C62&gt;C58),C63,IF((C60+C62+C63-C58&lt;=0),0,C60+C62+C63-C58)))</f>
        <v xml:space="preserve"> </v>
      </c>
      <c r="D74" s="565" t="str">
        <f>IF(BG!$C31=ISBLANK(0)," ",IF((D60+D62&gt;D58),D63,IF((D60+D62+D63-D58&lt;=0),0,D60+D62+D63-D58)))</f>
        <v xml:space="preserve"> </v>
      </c>
      <c r="E74" s="565" t="str">
        <f>IF(BG!$C32=ISBLANK(0)," ",IF((E60+E62&gt;E58),E63,IF((E60+E62+E63-E58&lt;=0),0,E60+E62+E63-E58)))</f>
        <v xml:space="preserve"> </v>
      </c>
      <c r="F74" s="565" t="str">
        <f>IF(BG!$C33=ISBLANK(0)," ",IF((F60+F62&gt;F58),F63,IF((F60+F62+F63-F58&lt;=0),0,F60+F62+F63-F58)))</f>
        <v xml:space="preserve"> </v>
      </c>
      <c r="G74" s="565" t="str">
        <f>IF(BG!$C34=ISBLANK(0)," ",IF((G60+G62&gt;G58),G63,IF((G60+G62+G63-G58&lt;=0),0,G60+G62+G63-G58)))</f>
        <v xml:space="preserve"> </v>
      </c>
      <c r="H74" s="565" t="str">
        <f>IF(BG!$C35=ISBLANK(0)," ",IF((H60+H62&gt;H58),H63,IF((H60+H62+H63-H58&lt;=0),0,H60+H62+H63-H58)))</f>
        <v xml:space="preserve"> </v>
      </c>
      <c r="I74" s="93"/>
      <c r="J74" s="85"/>
      <c r="K74" s="85"/>
      <c r="L74" s="85"/>
      <c r="M74" s="422"/>
      <c r="N74" s="178"/>
      <c r="O74" s="178"/>
      <c r="P74" s="178"/>
      <c r="Q74" s="178"/>
      <c r="R74" s="178"/>
      <c r="S74" s="178"/>
      <c r="T74" s="178"/>
      <c r="U74" s="178"/>
      <c r="V74" s="178"/>
      <c r="W74" s="178"/>
      <c r="X74" s="178"/>
      <c r="Y74" s="178"/>
      <c r="Z74" s="178"/>
    </row>
    <row r="75" spans="1:26" x14ac:dyDescent="0.2">
      <c r="A75" s="85"/>
      <c r="B75" s="85"/>
      <c r="C75" s="497"/>
      <c r="D75" s="497"/>
      <c r="E75" s="85"/>
      <c r="F75" s="85"/>
      <c r="G75" s="85"/>
      <c r="H75" s="85"/>
      <c r="I75" s="85"/>
      <c r="J75" s="85"/>
      <c r="K75" s="85"/>
      <c r="L75" s="85"/>
      <c r="M75" s="422"/>
      <c r="N75" s="178"/>
      <c r="O75" s="178"/>
      <c r="P75" s="178"/>
      <c r="Q75" s="178"/>
      <c r="R75" s="178"/>
      <c r="S75" s="178"/>
      <c r="T75" s="178"/>
      <c r="U75" s="178"/>
      <c r="V75" s="178"/>
      <c r="W75" s="178"/>
      <c r="X75" s="178"/>
      <c r="Y75" s="178"/>
      <c r="Z75" s="178"/>
    </row>
    <row r="76" spans="1:26" ht="15" x14ac:dyDescent="0.25">
      <c r="A76" s="568" t="s">
        <v>505</v>
      </c>
      <c r="B76" s="569"/>
      <c r="C76" s="569"/>
      <c r="D76" s="569"/>
      <c r="E76" s="569"/>
      <c r="F76" s="569"/>
      <c r="G76" s="569"/>
      <c r="H76" s="569"/>
      <c r="I76" s="569"/>
      <c r="J76" s="569"/>
      <c r="K76" s="569"/>
      <c r="L76" s="569"/>
      <c r="M76" s="570"/>
      <c r="N76" s="178"/>
      <c r="O76" s="178"/>
      <c r="P76" s="178"/>
      <c r="Q76" s="178"/>
      <c r="R76" s="178"/>
      <c r="S76" s="178"/>
      <c r="T76" s="178"/>
      <c r="U76" s="178"/>
      <c r="V76" s="178"/>
      <c r="W76" s="178"/>
      <c r="X76" s="178"/>
      <c r="Y76" s="178"/>
      <c r="Z76" s="178"/>
    </row>
    <row r="77" spans="1:26" x14ac:dyDescent="0.2">
      <c r="A77" s="1126" t="s">
        <v>202</v>
      </c>
      <c r="B77" s="1127"/>
      <c r="C77" s="1169" t="str">
        <f>IF(MEG!F83&lt;MEG!F85," ",IF(BG!D8="alleinerziehend",Bedarfe!C24+SUM(E29:M29)+SUM(C71:H71),C24+D24+SUM(E29:M29)+SUM(C71:H71)))</f>
        <v xml:space="preserve"> </v>
      </c>
      <c r="D77" s="1127"/>
      <c r="E77" s="569"/>
      <c r="F77" s="569"/>
      <c r="G77" s="569"/>
      <c r="H77" s="569"/>
      <c r="I77" s="569"/>
      <c r="J77" s="569"/>
      <c r="K77" s="569"/>
      <c r="L77" s="569"/>
      <c r="M77" s="570"/>
      <c r="N77" s="178"/>
      <c r="O77" s="178"/>
      <c r="P77" s="178"/>
      <c r="Q77" s="178"/>
      <c r="R77" s="178"/>
      <c r="S77" s="178"/>
      <c r="T77" s="178"/>
      <c r="U77" s="178"/>
      <c r="V77" s="178"/>
      <c r="W77" s="178"/>
      <c r="X77" s="178"/>
      <c r="Y77" s="178"/>
      <c r="Z77" s="178"/>
    </row>
    <row r="78" spans="1:26" x14ac:dyDescent="0.2">
      <c r="A78" s="1108" t="s">
        <v>9</v>
      </c>
      <c r="B78" s="1109"/>
      <c r="C78" s="1108"/>
      <c r="D78" s="1109"/>
      <c r="E78" s="569"/>
      <c r="F78" s="569"/>
      <c r="G78" s="569"/>
      <c r="H78" s="569"/>
      <c r="I78" s="569"/>
      <c r="J78" s="569"/>
      <c r="K78" s="569"/>
      <c r="L78" s="569"/>
      <c r="M78" s="570"/>
      <c r="N78" s="178"/>
      <c r="O78" s="178"/>
      <c r="P78" s="178"/>
      <c r="Q78" s="178"/>
      <c r="R78" s="178"/>
      <c r="S78" s="178"/>
      <c r="T78" s="178"/>
      <c r="U78" s="178"/>
      <c r="V78" s="178"/>
      <c r="W78" s="178"/>
      <c r="X78" s="178"/>
      <c r="Y78" s="178"/>
      <c r="Z78" s="178"/>
    </row>
    <row r="79" spans="1:26" ht="15" x14ac:dyDescent="0.25">
      <c r="A79" s="1174" t="s">
        <v>356</v>
      </c>
      <c r="B79" s="1175"/>
      <c r="C79" s="1176" t="str">
        <f>IF(MEG!F83&lt;MEG!F85," ",SUM(C24:M24)+SUM(C66:H66))</f>
        <v xml:space="preserve"> </v>
      </c>
      <c r="D79" s="1177"/>
      <c r="E79" s="569"/>
      <c r="F79" s="569"/>
      <c r="G79" s="569"/>
      <c r="H79" s="569"/>
      <c r="I79" s="569"/>
      <c r="J79" s="569"/>
      <c r="K79" s="569"/>
      <c r="L79" s="569"/>
      <c r="M79" s="570"/>
      <c r="N79" s="178"/>
      <c r="O79" s="178"/>
      <c r="P79" s="178"/>
      <c r="Q79" s="178"/>
      <c r="R79" s="178"/>
      <c r="S79" s="178"/>
      <c r="T79" s="178"/>
      <c r="U79" s="178"/>
      <c r="V79" s="178"/>
      <c r="W79" s="178"/>
      <c r="X79" s="178"/>
      <c r="Y79" s="178"/>
      <c r="Z79" s="178"/>
    </row>
    <row r="80" spans="1:26" ht="15" x14ac:dyDescent="0.25">
      <c r="A80" s="1180" t="s">
        <v>390</v>
      </c>
      <c r="B80" s="1181"/>
      <c r="C80" s="1178"/>
      <c r="D80" s="1179"/>
      <c r="E80" s="569"/>
      <c r="F80" s="569"/>
      <c r="G80" s="569"/>
      <c r="H80" s="569"/>
      <c r="I80" s="569"/>
      <c r="J80" s="569"/>
      <c r="K80" s="569"/>
      <c r="L80" s="569"/>
      <c r="M80" s="570"/>
      <c r="N80" s="178"/>
      <c r="O80" s="178"/>
      <c r="P80" s="178"/>
      <c r="Q80" s="178"/>
      <c r="R80" s="178"/>
      <c r="S80" s="178"/>
      <c r="T80" s="178"/>
      <c r="U80" s="178"/>
      <c r="V80" s="178"/>
      <c r="W80" s="178"/>
      <c r="X80" s="178"/>
      <c r="Y80" s="178"/>
      <c r="Z80" s="178"/>
    </row>
    <row r="81" spans="1:26" x14ac:dyDescent="0.2">
      <c r="A81" s="569"/>
      <c r="B81" s="569"/>
      <c r="C81" s="569"/>
      <c r="D81" s="569"/>
      <c r="E81" s="569"/>
      <c r="F81" s="569"/>
      <c r="G81" s="569"/>
      <c r="H81" s="569"/>
      <c r="I81" s="569"/>
      <c r="J81" s="569"/>
      <c r="K81" s="569"/>
      <c r="L81" s="569"/>
      <c r="M81" s="570"/>
      <c r="N81" s="178"/>
      <c r="O81" s="178"/>
      <c r="P81" s="178"/>
      <c r="Q81" s="178"/>
      <c r="R81" s="178"/>
      <c r="S81" s="178"/>
      <c r="T81" s="178"/>
      <c r="U81" s="178"/>
      <c r="V81" s="178"/>
      <c r="W81" s="178"/>
      <c r="X81" s="178"/>
      <c r="Y81" s="178"/>
      <c r="Z81" s="178"/>
    </row>
    <row r="82" spans="1:26" x14ac:dyDescent="0.2">
      <c r="A82" s="1126" t="s">
        <v>301</v>
      </c>
      <c r="B82" s="1127"/>
      <c r="C82" s="1169" t="str">
        <f>IF(MEG!F83&lt;MEG!F85," ",IF(OR(BG!F19="Student",BG!F20="Student"),Datenblatt!A93+Datenblatt!B93,IF(COUNTIF(C22:D22,"ja")&lt;1,(Datenblatt!C59+Datenblatt!E59),Datenblatt!G59+Datenblatt!H59)))</f>
        <v xml:space="preserve"> </v>
      </c>
      <c r="D82" s="1170"/>
      <c r="E82" s="569"/>
      <c r="F82" s="1126" t="str">
        <f>IF(BG!D2&gt;BG!E2,"Prüfung ab Jan. 20","offener")</f>
        <v>offener</v>
      </c>
      <c r="G82" s="1127"/>
      <c r="H82" s="1169" t="str">
        <f>IF(MEG!F83&lt;MEG!F85," ",IF((C79-C82-C84-D87)&lt;0,0,C79-D88))</f>
        <v xml:space="preserve"> </v>
      </c>
      <c r="I82" s="1170"/>
      <c r="J82" s="569"/>
      <c r="K82" s="569"/>
      <c r="L82" s="569"/>
      <c r="M82" s="570"/>
      <c r="N82" s="178"/>
      <c r="O82" s="178"/>
      <c r="P82" s="178"/>
      <c r="Q82" s="178"/>
      <c r="R82" s="178"/>
      <c r="S82" s="178"/>
      <c r="T82" s="178"/>
      <c r="U82" s="178"/>
      <c r="V82" s="178"/>
      <c r="W82" s="178"/>
      <c r="X82" s="178"/>
      <c r="Y82" s="178"/>
      <c r="Z82" s="178"/>
    </row>
    <row r="83" spans="1:26" x14ac:dyDescent="0.2">
      <c r="A83" s="1108" t="s">
        <v>203</v>
      </c>
      <c r="B83" s="1109"/>
      <c r="C83" s="1171"/>
      <c r="D83" s="1172"/>
      <c r="E83" s="569"/>
      <c r="F83" s="1108" t="str">
        <f>IF(BG!D2&gt;BG!E2,"entfallen","Restbedarf:")</f>
        <v>Restbedarf:</v>
      </c>
      <c r="G83" s="1109"/>
      <c r="H83" s="1171"/>
      <c r="I83" s="1172"/>
      <c r="J83" s="569"/>
      <c r="K83" s="569"/>
      <c r="L83" s="569"/>
      <c r="M83" s="570"/>
      <c r="N83" s="178"/>
      <c r="O83" s="178"/>
      <c r="P83" s="178"/>
      <c r="Q83" s="178"/>
      <c r="R83" s="178"/>
      <c r="S83" s="178"/>
      <c r="T83" s="178"/>
      <c r="U83" s="178"/>
      <c r="V83" s="178"/>
      <c r="W83" s="178"/>
      <c r="X83" s="178"/>
      <c r="Y83" s="178"/>
      <c r="Z83" s="178"/>
    </row>
    <row r="84" spans="1:26" x14ac:dyDescent="0.2">
      <c r="A84" s="1126" t="s">
        <v>302</v>
      </c>
      <c r="B84" s="1127"/>
      <c r="C84" s="1169" t="str">
        <f>IF(MEG!F83&lt;MEG!F85," ",IF(OR(BG!F19="Student",BG!F20="Student"),MAX(Datenblatt!A94+Datenblatt!B94,0),IF(BG!D8="alleinerziehend",MAX(Datenblatt!G55-D87,0),MAX(Datenblatt!G55+Datenblatt!H55-D87,0))))</f>
        <v xml:space="preserve"> </v>
      </c>
      <c r="D84" s="1170"/>
      <c r="E84" s="569"/>
      <c r="F84" s="569"/>
      <c r="G84" s="569"/>
      <c r="H84" s="569"/>
      <c r="I84" s="569"/>
      <c r="J84" s="569"/>
      <c r="K84" s="569"/>
      <c r="L84" s="569"/>
      <c r="M84" s="570"/>
      <c r="N84" s="178"/>
      <c r="O84" s="178"/>
      <c r="P84" s="178"/>
      <c r="Q84" s="178"/>
      <c r="R84" s="178"/>
      <c r="S84" s="178"/>
      <c r="T84" s="178"/>
      <c r="U84" s="178"/>
      <c r="V84" s="178"/>
      <c r="W84" s="178"/>
      <c r="X84" s="178"/>
      <c r="Y84" s="178"/>
      <c r="Z84" s="178"/>
    </row>
    <row r="85" spans="1:26" ht="15" x14ac:dyDescent="0.25">
      <c r="A85" s="1108" t="s">
        <v>79</v>
      </c>
      <c r="B85" s="1109"/>
      <c r="C85" s="1171"/>
      <c r="D85" s="1172"/>
      <c r="E85" s="571"/>
      <c r="F85" s="572" t="str">
        <f>IF(BG!D2&gt;BG!E2," ",IF(MEG!F83&lt;MEG!F85,"Die Mindesteinkommensgrenze wird nicht erreicht.",IF(H82=0,"Der Gesamtbedarf ist gedeckt. Es besteht kein Anspruch auf Kinderzuschlag.","Es besteht ein offener Restbedarf. Der Anspruch auf Kinderzuschlag ist weiter zu prüfen.")))</f>
        <v>Die Mindesteinkommensgrenze wird nicht erreicht.</v>
      </c>
      <c r="G85" s="569"/>
      <c r="H85" s="569"/>
      <c r="I85" s="569"/>
      <c r="J85" s="569"/>
      <c r="K85" s="569"/>
      <c r="L85" s="569"/>
      <c r="M85" s="570"/>
      <c r="N85" s="178"/>
      <c r="O85" s="178"/>
      <c r="P85" s="178"/>
      <c r="Q85" s="178"/>
      <c r="R85" s="178"/>
      <c r="S85" s="178"/>
      <c r="T85" s="178"/>
      <c r="U85" s="178"/>
      <c r="V85" s="178"/>
      <c r="W85" s="178"/>
      <c r="X85" s="178"/>
      <c r="Y85" s="178"/>
      <c r="Z85" s="178"/>
    </row>
    <row r="86" spans="1:26" x14ac:dyDescent="0.2">
      <c r="A86" s="958" t="s">
        <v>385</v>
      </c>
      <c r="B86" s="958"/>
      <c r="C86" s="573"/>
      <c r="D86" s="574"/>
      <c r="E86" s="571"/>
      <c r="F86" s="571"/>
      <c r="G86" s="569"/>
      <c r="H86" s="569"/>
      <c r="I86" s="569"/>
      <c r="J86" s="569"/>
      <c r="K86" s="569"/>
      <c r="L86" s="569"/>
      <c r="M86" s="570"/>
      <c r="N86" s="178"/>
      <c r="O86" s="178"/>
      <c r="P86" s="178"/>
      <c r="Q86" s="178"/>
      <c r="R86" s="178"/>
      <c r="S86" s="178"/>
      <c r="T86" s="178"/>
      <c r="U86" s="178"/>
      <c r="V86" s="178"/>
      <c r="W86" s="178"/>
      <c r="X86" s="178"/>
      <c r="Y86" s="178"/>
      <c r="Z86" s="178"/>
    </row>
    <row r="87" spans="1:26" x14ac:dyDescent="0.2">
      <c r="A87" s="960" t="s">
        <v>391</v>
      </c>
      <c r="B87" s="960"/>
      <c r="C87" s="575"/>
      <c r="D87" s="576">
        <f>C35</f>
        <v>0</v>
      </c>
      <c r="E87" s="571"/>
      <c r="F87" s="571"/>
      <c r="G87" s="569"/>
      <c r="H87" s="569"/>
      <c r="I87" s="569"/>
      <c r="J87" s="569"/>
      <c r="K87" s="569"/>
      <c r="L87" s="569"/>
      <c r="M87" s="570"/>
      <c r="N87" s="178"/>
      <c r="O87" s="178"/>
      <c r="P87" s="178"/>
      <c r="Q87" s="178"/>
      <c r="R87" s="178"/>
      <c r="S87" s="178"/>
      <c r="T87" s="178"/>
      <c r="U87" s="178"/>
      <c r="V87" s="178"/>
      <c r="W87" s="178"/>
      <c r="X87" s="178"/>
      <c r="Y87" s="178"/>
      <c r="Z87" s="178"/>
    </row>
    <row r="88" spans="1:26" ht="15" x14ac:dyDescent="0.25">
      <c r="A88" s="1173" t="s">
        <v>392</v>
      </c>
      <c r="B88" s="1173"/>
      <c r="C88" s="577"/>
      <c r="D88" s="578">
        <f>SUM(C82:D87)</f>
        <v>0</v>
      </c>
      <c r="E88" s="571"/>
      <c r="F88" s="571"/>
      <c r="G88" s="569"/>
      <c r="H88" s="569"/>
      <c r="I88" s="569"/>
      <c r="J88" s="569"/>
      <c r="K88" s="569"/>
      <c r="L88" s="569"/>
      <c r="M88" s="570"/>
      <c r="N88" s="178"/>
      <c r="O88" s="178"/>
      <c r="P88" s="178"/>
      <c r="Q88" s="178"/>
      <c r="R88" s="178"/>
      <c r="S88" s="178"/>
      <c r="T88" s="178"/>
      <c r="U88" s="178"/>
      <c r="V88" s="178"/>
      <c r="W88" s="178"/>
      <c r="X88" s="178"/>
      <c r="Y88" s="178"/>
      <c r="Z88" s="178"/>
    </row>
    <row r="89" spans="1:26" x14ac:dyDescent="0.2">
      <c r="A89" s="569"/>
      <c r="B89" s="569"/>
      <c r="C89" s="569"/>
      <c r="D89" s="579"/>
      <c r="E89" s="571"/>
      <c r="F89" s="571"/>
      <c r="G89" s="569"/>
      <c r="H89" s="569"/>
      <c r="I89" s="569"/>
      <c r="J89" s="569"/>
      <c r="K89" s="569"/>
      <c r="L89" s="569"/>
      <c r="M89" s="570"/>
      <c r="N89" s="178"/>
      <c r="O89" s="178"/>
      <c r="P89" s="178"/>
      <c r="Q89" s="178"/>
      <c r="R89" s="178"/>
      <c r="S89" s="178"/>
      <c r="T89" s="178"/>
      <c r="U89" s="178"/>
      <c r="V89" s="178"/>
      <c r="W89" s="178"/>
      <c r="X89" s="178"/>
      <c r="Y89" s="178"/>
      <c r="Z89" s="178"/>
    </row>
    <row r="90" spans="1:26" x14ac:dyDescent="0.2">
      <c r="A90" s="569"/>
      <c r="B90" s="569"/>
      <c r="C90" s="569"/>
      <c r="D90" s="569"/>
      <c r="E90" s="571"/>
      <c r="F90" s="571"/>
      <c r="G90" s="569"/>
      <c r="H90" s="569"/>
      <c r="I90" s="569"/>
      <c r="J90" s="569"/>
      <c r="K90" s="569"/>
      <c r="L90" s="569"/>
      <c r="M90" s="570"/>
      <c r="N90" s="178"/>
      <c r="O90" s="178"/>
      <c r="P90" s="178"/>
      <c r="Q90" s="178"/>
      <c r="R90" s="178"/>
      <c r="S90" s="178"/>
      <c r="T90" s="178"/>
      <c r="U90" s="178"/>
      <c r="V90" s="178"/>
      <c r="W90" s="178"/>
      <c r="X90" s="178"/>
      <c r="Y90" s="178"/>
      <c r="Z90" s="178"/>
    </row>
    <row r="91" spans="1:26" x14ac:dyDescent="0.2">
      <c r="A91" s="422"/>
      <c r="B91" s="422"/>
      <c r="C91" s="422"/>
      <c r="D91" s="422"/>
      <c r="E91" s="420"/>
      <c r="F91" s="422"/>
      <c r="G91" s="422"/>
      <c r="H91" s="422"/>
      <c r="I91" s="422"/>
      <c r="J91" s="422"/>
      <c r="K91" s="422"/>
      <c r="L91" s="422"/>
      <c r="M91" s="422"/>
    </row>
    <row r="92" spans="1:26" ht="15" x14ac:dyDescent="0.25">
      <c r="A92" s="580" t="s">
        <v>506</v>
      </c>
      <c r="B92" s="581"/>
      <c r="C92" s="581"/>
      <c r="D92" s="581"/>
      <c r="E92" s="581"/>
      <c r="F92" s="581"/>
      <c r="G92" s="581"/>
      <c r="H92" s="581"/>
      <c r="I92" s="581"/>
      <c r="J92" s="581"/>
      <c r="K92" s="581"/>
      <c r="L92" s="581"/>
      <c r="M92" s="582"/>
    </row>
    <row r="93" spans="1:26" x14ac:dyDescent="0.2">
      <c r="A93" s="1118" t="s">
        <v>202</v>
      </c>
      <c r="B93" s="1119"/>
      <c r="C93" s="1120" t="str">
        <f>IF(MEG!F83&lt;MEG!F85," ",IF(BG!D8="alleinerziehend",Bedarfe!C24+SUM(E29:M29)+SUM(C71:H71),C24+D24+SUM(E29:M29)+SUM(C71:H71)))</f>
        <v xml:space="preserve"> </v>
      </c>
      <c r="D93" s="1119"/>
      <c r="E93" s="583"/>
      <c r="F93" s="583"/>
      <c r="G93" s="583"/>
      <c r="H93" s="583"/>
      <c r="I93" s="583"/>
      <c r="J93" s="583"/>
      <c r="K93" s="583"/>
      <c r="L93" s="583"/>
      <c r="M93" s="584"/>
    </row>
    <row r="94" spans="1:26" x14ac:dyDescent="0.2">
      <c r="A94" s="1124" t="s">
        <v>9</v>
      </c>
      <c r="B94" s="1125"/>
      <c r="C94" s="1124"/>
      <c r="D94" s="1125"/>
      <c r="E94" s="583"/>
      <c r="F94" s="583"/>
      <c r="G94" s="583"/>
      <c r="H94" s="583"/>
      <c r="I94" s="583"/>
      <c r="J94" s="583"/>
      <c r="K94" s="583"/>
      <c r="L94" s="583"/>
      <c r="M94" s="584"/>
    </row>
    <row r="95" spans="1:26" ht="15" x14ac:dyDescent="0.25">
      <c r="A95" s="1110" t="s">
        <v>356</v>
      </c>
      <c r="B95" s="1111"/>
      <c r="C95" s="1112" t="str">
        <f>IF(MEG!F83&lt;MEG!F85," ",SUM(C24:M24)+SUM(C66:H66))</f>
        <v xml:space="preserve"> </v>
      </c>
      <c r="D95" s="1113"/>
      <c r="E95" s="583"/>
      <c r="F95" s="583"/>
      <c r="G95" s="583"/>
      <c r="H95" s="583"/>
      <c r="I95" s="583"/>
      <c r="J95" s="583"/>
      <c r="K95" s="583"/>
      <c r="L95" s="583"/>
      <c r="M95" s="584"/>
    </row>
    <row r="96" spans="1:26" ht="15" x14ac:dyDescent="0.25">
      <c r="A96" s="1116" t="s">
        <v>390</v>
      </c>
      <c r="B96" s="1117"/>
      <c r="C96" s="1114"/>
      <c r="D96" s="1115"/>
      <c r="E96" s="583"/>
      <c r="F96" s="583"/>
      <c r="G96" s="583"/>
      <c r="H96" s="583"/>
      <c r="I96" s="583"/>
      <c r="J96" s="583"/>
      <c r="K96" s="583"/>
      <c r="L96" s="583"/>
      <c r="M96" s="584"/>
    </row>
    <row r="97" spans="1:13" x14ac:dyDescent="0.2">
      <c r="A97" s="585"/>
      <c r="B97" s="583"/>
      <c r="C97" s="583"/>
      <c r="D97" s="583"/>
      <c r="E97" s="583"/>
      <c r="F97" s="583"/>
      <c r="G97" s="583"/>
      <c r="H97" s="583"/>
      <c r="I97" s="583"/>
      <c r="J97" s="583"/>
      <c r="K97" s="583"/>
      <c r="L97" s="583"/>
      <c r="M97" s="584"/>
    </row>
    <row r="98" spans="1:13" x14ac:dyDescent="0.2">
      <c r="A98" s="1118" t="s">
        <v>301</v>
      </c>
      <c r="B98" s="1119"/>
      <c r="C98" s="1120" t="str">
        <f>IF(MEG!F83&lt;MEG!F85," ",Datenblatt!G59+Datenblatt!H59)</f>
        <v xml:space="preserve"> </v>
      </c>
      <c r="D98" s="1121"/>
      <c r="E98" s="583"/>
      <c r="F98" s="1118" t="str">
        <f>IF(BG!D2&gt;BG!E2,"Prüfung ab Jan. 20","offener")</f>
        <v>offener</v>
      </c>
      <c r="G98" s="1119"/>
      <c r="H98" s="1120" t="str">
        <f>IF(MEG!F83&lt;MEG!F85," ",IF((C95-C98-C100-D103)&lt;0,0,C95-D104))</f>
        <v xml:space="preserve"> </v>
      </c>
      <c r="I98" s="1121"/>
      <c r="J98" s="583"/>
      <c r="K98" s="583"/>
      <c r="L98" s="583"/>
      <c r="M98" s="584"/>
    </row>
    <row r="99" spans="1:13" x14ac:dyDescent="0.2">
      <c r="A99" s="1124" t="s">
        <v>203</v>
      </c>
      <c r="B99" s="1125"/>
      <c r="C99" s="1122"/>
      <c r="D99" s="1123"/>
      <c r="E99" s="583"/>
      <c r="F99" s="1124" t="str">
        <f>IF(BG!D2&gt;BG!E2,"entfallen","Restbedarf:")</f>
        <v>Restbedarf:</v>
      </c>
      <c r="G99" s="1125"/>
      <c r="H99" s="1122"/>
      <c r="I99" s="1123"/>
      <c r="J99" s="583"/>
      <c r="K99" s="583"/>
      <c r="L99" s="583"/>
      <c r="M99" s="584"/>
    </row>
    <row r="100" spans="1:13" x14ac:dyDescent="0.2">
      <c r="A100" s="1118" t="s">
        <v>302</v>
      </c>
      <c r="B100" s="1119"/>
      <c r="C100" s="1120" t="str">
        <f>IF(MEG!F83&lt;MEG!F85," ",Datenblatt!G55+Datenblatt!H55)</f>
        <v xml:space="preserve"> </v>
      </c>
      <c r="D100" s="1121"/>
      <c r="E100" s="583"/>
      <c r="F100" s="583"/>
      <c r="G100" s="583"/>
      <c r="H100" s="583"/>
      <c r="I100" s="583"/>
      <c r="J100" s="583"/>
      <c r="K100" s="583"/>
      <c r="L100" s="583"/>
      <c r="M100" s="584"/>
    </row>
    <row r="101" spans="1:13" ht="15" x14ac:dyDescent="0.25">
      <c r="A101" s="1124" t="s">
        <v>79</v>
      </c>
      <c r="B101" s="1125"/>
      <c r="C101" s="1122"/>
      <c r="D101" s="1123"/>
      <c r="E101" s="586"/>
      <c r="F101" s="587" t="str">
        <f>IF(BG!D2&gt;BG!E2," ",IF(MEG!F83&lt;MEG!F85,"Die Mindesteinkommensgrenze wird nicht erreicht.",IF(H98=0,"Der Gesamtbedarf ist gedeckt. Es besteht kein Anspruch auf Kinderzuschlag.","Es besteht ein offener Restbedarf. Der Anspruch auf Kinderzuschlag ist weiter zu prüfen.")))</f>
        <v>Die Mindesteinkommensgrenze wird nicht erreicht.</v>
      </c>
      <c r="G101" s="583"/>
      <c r="H101" s="583"/>
      <c r="I101" s="583"/>
      <c r="J101" s="583"/>
      <c r="K101" s="583"/>
      <c r="L101" s="583"/>
      <c r="M101" s="584"/>
    </row>
    <row r="102" spans="1:13" x14ac:dyDescent="0.2">
      <c r="A102" s="1128" t="s">
        <v>385</v>
      </c>
      <c r="B102" s="1128"/>
      <c r="C102" s="588"/>
      <c r="D102" s="589"/>
      <c r="E102" s="586"/>
      <c r="F102" s="586"/>
      <c r="G102" s="583"/>
      <c r="H102" s="583"/>
      <c r="I102" s="583"/>
      <c r="J102" s="583"/>
      <c r="K102" s="583"/>
      <c r="L102" s="583"/>
      <c r="M102" s="584"/>
    </row>
    <row r="103" spans="1:13" x14ac:dyDescent="0.2">
      <c r="A103" s="1129" t="s">
        <v>391</v>
      </c>
      <c r="B103" s="1129"/>
      <c r="C103" s="590"/>
      <c r="D103" s="591">
        <f>C36</f>
        <v>0</v>
      </c>
      <c r="E103" s="586"/>
      <c r="F103" s="586"/>
      <c r="G103" s="583"/>
      <c r="H103" s="583"/>
      <c r="I103" s="583"/>
      <c r="J103" s="583"/>
      <c r="K103" s="583"/>
      <c r="L103" s="583"/>
      <c r="M103" s="584"/>
    </row>
    <row r="104" spans="1:13" ht="15" x14ac:dyDescent="0.25">
      <c r="A104" s="1130" t="s">
        <v>392</v>
      </c>
      <c r="B104" s="1130"/>
      <c r="C104" s="592"/>
      <c r="D104" s="593">
        <f>SUM(C98:D103)</f>
        <v>0</v>
      </c>
      <c r="E104" s="586"/>
      <c r="F104" s="586"/>
      <c r="G104" s="583"/>
      <c r="H104" s="583"/>
      <c r="I104" s="583"/>
      <c r="J104" s="583"/>
      <c r="K104" s="583"/>
      <c r="L104" s="583"/>
      <c r="M104" s="584"/>
    </row>
    <row r="105" spans="1:13" x14ac:dyDescent="0.2">
      <c r="A105" s="594"/>
      <c r="B105" s="595"/>
      <c r="C105" s="595"/>
      <c r="D105" s="596"/>
      <c r="E105" s="597"/>
      <c r="F105" s="597"/>
      <c r="G105" s="595"/>
      <c r="H105" s="595"/>
      <c r="I105" s="595"/>
      <c r="J105" s="595"/>
      <c r="K105" s="595"/>
      <c r="L105" s="595"/>
      <c r="M105" s="598"/>
    </row>
    <row r="106" spans="1:13" x14ac:dyDescent="0.2">
      <c r="A106" s="85"/>
      <c r="B106" s="85"/>
      <c r="C106" s="85"/>
      <c r="D106" s="85"/>
      <c r="E106" s="420"/>
      <c r="F106" s="420"/>
      <c r="G106" s="85"/>
      <c r="H106" s="85"/>
      <c r="I106" s="85"/>
      <c r="J106" s="85"/>
      <c r="K106" s="85"/>
      <c r="L106" s="85"/>
      <c r="M106" s="422"/>
    </row>
  </sheetData>
  <sheetProtection algorithmName="SHA-512" hashValue="K/GlEP7IhKHZJBBDbOqIjrbQr866SLEEcP3ouqReptdR6wdNyAPaN6xXaQx+WEjV4QsbCqIRjIyTRAwqi/5KoQ==" saltValue="bPRxQeLqpclGrRdUobYmOw==" spinCount="100000" sheet="1" formatCells="0" formatColumns="0" formatRows="0" insertColumns="0" insertRows="0" insertHyperlinks="0" deleteColumns="0" deleteRows="0" sort="0" pivotTables="0"/>
  <mergeCells count="121">
    <mergeCell ref="N29:V30"/>
    <mergeCell ref="H82:I83"/>
    <mergeCell ref="C82:D83"/>
    <mergeCell ref="C77:D78"/>
    <mergeCell ref="A88:B88"/>
    <mergeCell ref="A79:B79"/>
    <mergeCell ref="C79:D80"/>
    <mergeCell ref="A78:B78"/>
    <mergeCell ref="A86:B86"/>
    <mergeCell ref="A87:B87"/>
    <mergeCell ref="A85:B85"/>
    <mergeCell ref="C84:D85"/>
    <mergeCell ref="A84:B84"/>
    <mergeCell ref="A83:B83"/>
    <mergeCell ref="F82:G82"/>
    <mergeCell ref="A80:B80"/>
    <mergeCell ref="A32:B32"/>
    <mergeCell ref="A36:B36"/>
    <mergeCell ref="A73:B74"/>
    <mergeCell ref="A58:B58"/>
    <mergeCell ref="A53:B53"/>
    <mergeCell ref="A54:B54"/>
    <mergeCell ref="A55:B55"/>
    <mergeCell ref="A56:B56"/>
    <mergeCell ref="R6:S6"/>
    <mergeCell ref="A6:B6"/>
    <mergeCell ref="A9:B9"/>
    <mergeCell ref="U6:V6"/>
    <mergeCell ref="N7:O7"/>
    <mergeCell ref="N9:O9"/>
    <mergeCell ref="N6:O6"/>
    <mergeCell ref="N8:O8"/>
    <mergeCell ref="P6:Q6"/>
    <mergeCell ref="A3:B3"/>
    <mergeCell ref="A4:B4"/>
    <mergeCell ref="A22:B22"/>
    <mergeCell ref="N12:O12"/>
    <mergeCell ref="P7:Q7"/>
    <mergeCell ref="P16:Q16"/>
    <mergeCell ref="P17:Q17"/>
    <mergeCell ref="P18:Q18"/>
    <mergeCell ref="P19:Q19"/>
    <mergeCell ref="P20:Q20"/>
    <mergeCell ref="P21:Q21"/>
    <mergeCell ref="P22:Q22"/>
    <mergeCell ref="N4:O4"/>
    <mergeCell ref="N10:O10"/>
    <mergeCell ref="N3:O3"/>
    <mergeCell ref="A7:B7"/>
    <mergeCell ref="P15:Q15"/>
    <mergeCell ref="A8:B8"/>
    <mergeCell ref="A10:B10"/>
    <mergeCell ref="A11:B11"/>
    <mergeCell ref="A19:B19"/>
    <mergeCell ref="A21:B21"/>
    <mergeCell ref="A16:B16"/>
    <mergeCell ref="A12:B12"/>
    <mergeCell ref="A14:B14"/>
    <mergeCell ref="N5:O5"/>
    <mergeCell ref="A50:B50"/>
    <mergeCell ref="A51:B51"/>
    <mergeCell ref="A20:B20"/>
    <mergeCell ref="A35:B35"/>
    <mergeCell ref="N38:O38"/>
    <mergeCell ref="A18:B18"/>
    <mergeCell ref="A23:B23"/>
    <mergeCell ref="A24:B24"/>
    <mergeCell ref="A29:B29"/>
    <mergeCell ref="A30:B30"/>
    <mergeCell ref="A15:B15"/>
    <mergeCell ref="A13:B13"/>
    <mergeCell ref="N11:O11"/>
    <mergeCell ref="A5:B5"/>
    <mergeCell ref="A47:B47"/>
    <mergeCell ref="A25:B25"/>
    <mergeCell ref="N35:O35"/>
    <mergeCell ref="A31:B31"/>
    <mergeCell ref="A33:B34"/>
    <mergeCell ref="A26:B26"/>
    <mergeCell ref="A27:B27"/>
    <mergeCell ref="A28:B28"/>
    <mergeCell ref="A49:B49"/>
    <mergeCell ref="A72:B72"/>
    <mergeCell ref="A52:B52"/>
    <mergeCell ref="A57:B57"/>
    <mergeCell ref="A60:B60"/>
    <mergeCell ref="A65:B65"/>
    <mergeCell ref="A66:B66"/>
    <mergeCell ref="F34:L35"/>
    <mergeCell ref="J36:M37"/>
    <mergeCell ref="A48:B48"/>
    <mergeCell ref="A69:B69"/>
    <mergeCell ref="A70:B70"/>
    <mergeCell ref="A67:B67"/>
    <mergeCell ref="A68:B68"/>
    <mergeCell ref="A102:B102"/>
    <mergeCell ref="A103:B103"/>
    <mergeCell ref="A104:B104"/>
    <mergeCell ref="F98:G98"/>
    <mergeCell ref="H98:I99"/>
    <mergeCell ref="A99:B99"/>
    <mergeCell ref="F99:G99"/>
    <mergeCell ref="A100:B100"/>
    <mergeCell ref="C100:D101"/>
    <mergeCell ref="A101:B101"/>
    <mergeCell ref="F83:G83"/>
    <mergeCell ref="A95:B95"/>
    <mergeCell ref="C95:D96"/>
    <mergeCell ref="A96:B96"/>
    <mergeCell ref="A98:B98"/>
    <mergeCell ref="C98:D99"/>
    <mergeCell ref="A61:B61"/>
    <mergeCell ref="A62:B62"/>
    <mergeCell ref="A63:B63"/>
    <mergeCell ref="A64:B64"/>
    <mergeCell ref="A71:B71"/>
    <mergeCell ref="A93:B93"/>
    <mergeCell ref="C93:D94"/>
    <mergeCell ref="A94:B94"/>
    <mergeCell ref="A82:B82"/>
    <mergeCell ref="A77:B77"/>
  </mergeCells>
  <conditionalFormatting sqref="D12">
    <cfRule type="containsText" dxfId="26" priority="10" operator="containsText" text="stand?">
      <formula>NOT(ISERROR(SEARCH("stand?",D12)))</formula>
    </cfRule>
    <cfRule type="cellIs" dxfId="25" priority="16" operator="equal">
      <formula>0</formula>
    </cfRule>
  </conditionalFormatting>
  <conditionalFormatting sqref="C22:J22">
    <cfRule type="cellIs" dxfId="24" priority="14" operator="equal">
      <formula>"nein"</formula>
    </cfRule>
  </conditionalFormatting>
  <conditionalFormatting sqref="C12">
    <cfRule type="containsText" dxfId="23" priority="11" operator="containsText" text="Familien-">
      <formula>NOT(ISERROR(SEARCH("Familien-",C12)))</formula>
    </cfRule>
  </conditionalFormatting>
  <conditionalFormatting sqref="C4">
    <cfRule type="cellIs" dxfId="22" priority="9" operator="equal">
      <formula>"VET?"</formula>
    </cfRule>
  </conditionalFormatting>
  <conditionalFormatting sqref="C64:E64 K22:M22">
    <cfRule type="containsText" dxfId="21" priority="8" operator="containsText" text="nein">
      <formula>NOT(ISERROR(SEARCH("nein",C22)))</formula>
    </cfRule>
  </conditionalFormatting>
  <conditionalFormatting sqref="E64:H64">
    <cfRule type="containsText" dxfId="20" priority="7" operator="containsText" text="nein">
      <formula>NOT(ISERROR(SEARCH("nein",E64)))</formula>
    </cfRule>
  </conditionalFormatting>
  <conditionalFormatting sqref="I36">
    <cfRule type="expression" dxfId="19" priority="5">
      <formula>($C$34&gt;=30)</formula>
    </cfRule>
  </conditionalFormatting>
  <conditionalFormatting sqref="N29:V30">
    <cfRule type="expression" dxfId="18" priority="2">
      <formula>$E$13:$M$13+$C$55:$H$55&gt;0</formula>
    </cfRule>
  </conditionalFormatting>
  <dataValidations count="4">
    <dataValidation type="list" allowBlank="1" showInputMessage="1" showErrorMessage="1" sqref="P6:Q6" xr:uid="{00000000-0002-0000-1700-000000000000}">
      <formula1>".,1 Kind unter 7,1 Kind ab 7,2 Kinder unter 16,2 Kinder ab 16,1 Kind ab 7 und 1 Kind ab 16,3 Kinder,4 Kinder,5 oder mehr Kinder,kein Anspruch"</formula1>
    </dataValidation>
    <dataValidation type="list" allowBlank="1" showInputMessage="1" showErrorMessage="1" sqref="P8:Z8 P3:Z3 R15:W15 R18:W18" xr:uid="{00000000-0002-0000-1700-000001000000}">
      <formula1>".,Anspruch,kein Anspruch"</formula1>
    </dataValidation>
    <dataValidation type="list" allowBlank="1" showInputMessage="1" showErrorMessage="1" sqref="P11:Z11 R21:W21" xr:uid="{00000000-0002-0000-1700-000002000000}">
      <formula1>".,kein Anspruch,Anspruch"</formula1>
    </dataValidation>
    <dataValidation type="list" allowBlank="1" showInputMessage="1" showErrorMessage="1" sqref="P10:Z10 R20:W20" xr:uid="{00000000-0002-0000-1700-000003000000}">
      <formula1>".,5 %.,10 %.,15 %.,20 %.,25 %.,30 %.,35 %.,kein Anspruch"</formula1>
    </dataValidation>
  </dataValidations>
  <pageMargins left="0.70866141732283472" right="0.70866141732283472" top="0.8666666666666667" bottom="0.78740157480314965" header="0.31496062992125984" footer="0.31496062992125984"/>
  <pageSetup paperSize="9" scale="82" orientation="landscape" r:id="rId1"/>
  <headerFooter>
    <oddHeader>&amp;L&amp;"Arial,Fett"&amp;U8. Ermittlung des (verbleibenden) Gesamtbedarfes:&amp;R&amp;D</oddHeader>
    <oddFooter>&amp;R&amp;P</oddFooter>
  </headerFooter>
  <rowBreaks count="2" manualBreakCount="2">
    <brk id="39" max="12" man="1"/>
    <brk id="75" max="1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663162F3-84DD-4744-BDCA-022D6A2B7ED6}">
            <xm:f>AND($C34&lt;30,Kurzantrag!G7&gt;0)</xm:f>
            <x14:dxf>
              <fill>
                <patternFill>
                  <bgColor rgb="FFFFFF00"/>
                </patternFill>
              </fill>
              <border>
                <left style="thin">
                  <color auto="1"/>
                </left>
                <right style="thin">
                  <color auto="1"/>
                </right>
                <top style="thin">
                  <color auto="1"/>
                </top>
                <bottom style="thin">
                  <color auto="1"/>
                </bottom>
                <vertical/>
                <horizontal/>
              </border>
            </x14:dxf>
          </x14:cfRule>
          <xm:sqref>I36</xm:sqref>
        </x14:conditionalFormatting>
        <x14:conditionalFormatting xmlns:xm="http://schemas.microsoft.com/office/excel/2006/main">
          <x14:cfRule type="expression" priority="1" id="{864855DB-765E-41CF-AFB6-6938FAD82F3F}">
            <xm:f>AND(BG!$D$8="alleinerziehend",$P$6=".")</xm:f>
            <x14:dxf>
              <fill>
                <patternFill>
                  <bgColor theme="5" tint="0.39994506668294322"/>
                </patternFill>
              </fill>
            </x14:dxf>
          </x14:cfRule>
          <xm:sqref>C5</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4"/>
  <dimension ref="A1:M113"/>
  <sheetViews>
    <sheetView showGridLines="0" topLeftCell="A64" zoomScaleNormal="100" workbookViewId="0">
      <selection activeCell="E96" sqref="E96"/>
    </sheetView>
  </sheetViews>
  <sheetFormatPr baseColWidth="10" defaultRowHeight="14.25" x14ac:dyDescent="0.2"/>
  <cols>
    <col min="1" max="16384" width="11" style="1"/>
  </cols>
  <sheetData>
    <row r="1" spans="1:13" ht="15" x14ac:dyDescent="0.25">
      <c r="A1" s="249" t="s">
        <v>209</v>
      </c>
      <c r="B1" s="239"/>
      <c r="C1" s="239"/>
      <c r="D1" s="239"/>
      <c r="E1" s="239"/>
      <c r="F1" s="239"/>
      <c r="G1" s="239"/>
      <c r="H1" s="239"/>
      <c r="I1" s="239"/>
      <c r="J1" s="239"/>
      <c r="K1" s="239"/>
      <c r="L1" s="239"/>
      <c r="M1" s="239"/>
    </row>
    <row r="2" spans="1:13" x14ac:dyDescent="0.2">
      <c r="A2" s="239"/>
      <c r="B2" s="239"/>
      <c r="C2" s="239"/>
      <c r="D2" s="239"/>
      <c r="E2" s="239"/>
      <c r="F2" s="239"/>
      <c r="G2" s="239"/>
      <c r="H2" s="239"/>
      <c r="I2" s="239"/>
      <c r="J2" s="239"/>
      <c r="K2" s="239"/>
      <c r="L2" s="239"/>
      <c r="M2" s="239"/>
    </row>
    <row r="3" spans="1:13" x14ac:dyDescent="0.2">
      <c r="A3" s="239"/>
      <c r="B3" s="239"/>
      <c r="C3" s="239"/>
      <c r="D3" s="288" t="s">
        <v>13</v>
      </c>
      <c r="E3" s="288" t="s">
        <v>14</v>
      </c>
      <c r="F3" s="288" t="s">
        <v>15</v>
      </c>
      <c r="G3" s="288" t="s">
        <v>16</v>
      </c>
      <c r="H3" s="288" t="s">
        <v>17</v>
      </c>
      <c r="I3" s="288" t="s">
        <v>18</v>
      </c>
      <c r="J3" s="515" t="s">
        <v>340</v>
      </c>
      <c r="K3" s="288" t="s">
        <v>341</v>
      </c>
      <c r="L3" s="288" t="s">
        <v>342</v>
      </c>
      <c r="M3" s="288" t="s">
        <v>343</v>
      </c>
    </row>
    <row r="4" spans="1:13" x14ac:dyDescent="0.2">
      <c r="A4" s="810" t="s">
        <v>210</v>
      </c>
      <c r="B4" s="810"/>
      <c r="C4" s="810"/>
      <c r="D4" s="516" t="str">
        <f>IF(YEAR(BG!D2)&gt;2019," ",IF(BG!C21=ISBLANK(0)," ",IF(Bedarfe!H82=0," ",IF(Bedarfe!E22="ja",0,Datenblatt!O22))))</f>
        <v xml:space="preserve"> </v>
      </c>
      <c r="E4" s="516" t="str">
        <f>IF(YEAR(BG!D2)&gt;2019," ",IF(BG!C22=ISBLANK(0)," ",IF(Bedarfe!H82=0," ",IF(Bedarfe!F22="ja",0,Datenblatt!O22))))</f>
        <v xml:space="preserve"> </v>
      </c>
      <c r="F4" s="516" t="str">
        <f>IF(YEAR(BG!D2)&gt;2019," ",IF(BG!C23=ISBLANK(0)," ",IF(Bedarfe!H82=0," ",IF(Bedarfe!G22="ja",0,Datenblatt!O22))))</f>
        <v xml:space="preserve"> </v>
      </c>
      <c r="G4" s="516" t="str">
        <f>IF(YEAR(BG!D2)&gt;2019," ",IF(BG!C24=ISBLANK(0)," ",IF(Bedarfe!H82=0," ",IF(Bedarfe!H22="ja",0,Datenblatt!O22))))</f>
        <v xml:space="preserve"> </v>
      </c>
      <c r="H4" s="516" t="str">
        <f>IF(YEAR(BG!D2)&gt;2019," ",IF(BG!C25=ISBLANK(0)," ",IF(Bedarfe!H82=0," ",IF(Bedarfe!I22="ja",0,Datenblatt!O22))))</f>
        <v xml:space="preserve"> </v>
      </c>
      <c r="I4" s="516" t="str">
        <f>IF(YEAR(BG!D2)&gt;2019," ",IF(BG!C26=ISBLANK(0)," ",IF(Bedarfe!H82=0," ",IF(Bedarfe!J22="ja",0,Datenblatt!O22))))</f>
        <v xml:space="preserve"> </v>
      </c>
      <c r="J4" s="516" t="str">
        <f>IF(YEAR(BG!D2)&gt;2019," ",IF(BG!C27=ISBLANK(0)," ",IF(Bedarfe!H82=0," ",IF(Bedarfe!K22="ja",0,Datenblatt!O22))))</f>
        <v xml:space="preserve"> </v>
      </c>
      <c r="K4" s="516" t="str">
        <f>IF(YEAR(BG!D2)&gt;2019," ",IF(BG!C28=ISBLANK(0)," ",IF(Bedarfe!H82=0," ",IF(Bedarfe!L22="ja",0,Datenblatt!O22))))</f>
        <v xml:space="preserve"> </v>
      </c>
      <c r="L4" s="516" t="str">
        <f>IF(YEAR(BG!D2)&gt;2019," ",IF(BG!C29=ISBLANK(0)," ",IF(Bedarfe!H82=0," ",IF(Bedarfe!M22="ja",0,Datenblatt!O22))))</f>
        <v xml:space="preserve"> </v>
      </c>
      <c r="M4" s="516" t="str">
        <f>IF(YEAR(BG!D2)&gt;2019," ",IF(BG!C30=ISBLANK(0)," ",IF(Bedarfe!H82=0," ",IF(Bedarfe!C64="ja",0,Datenblatt!O22))))</f>
        <v xml:space="preserve"> </v>
      </c>
    </row>
    <row r="5" spans="1:13" x14ac:dyDescent="0.2">
      <c r="A5" s="810" t="s">
        <v>211</v>
      </c>
      <c r="B5" s="810"/>
      <c r="C5" s="810"/>
      <c r="D5" s="287" t="str">
        <f>IF(BG!C21=ISBLANK(0)," ",IF(Bedarfe!H82=0," ",'K1'!H121))</f>
        <v xml:space="preserve"> </v>
      </c>
      <c r="E5" s="287" t="str">
        <f>IF(BG!C22=ISBLANK(0)," ",IF(Bedarfe!H82=0," ",'K2'!H121))</f>
        <v xml:space="preserve"> </v>
      </c>
      <c r="F5" s="287" t="str">
        <f>IF(BG!C23=ISBLANK(0)," ",IF(Bedarfe!H82=0," ",'K3'!H121))</f>
        <v xml:space="preserve"> </v>
      </c>
      <c r="G5" s="287" t="str">
        <f>IF(BG!C24=ISBLANK(0)," ",IF(Bedarfe!H82=0," ",'K4'!H121))</f>
        <v xml:space="preserve"> </v>
      </c>
      <c r="H5" s="287" t="str">
        <f>IF(BG!C25=ISBLANK(0)," ",IF(Bedarfe!H82=0," ",'K5'!H121))</f>
        <v xml:space="preserve"> </v>
      </c>
      <c r="I5" s="287" t="str">
        <f>IF(BG!C26=ISBLANK(0)," ",IF(Bedarfe!H82=0," ",'K6'!H121))</f>
        <v xml:space="preserve"> </v>
      </c>
      <c r="J5" s="287" t="str">
        <f>IF(BG!C27=ISBLANK(0)," ",IF(Bedarfe!H82=0," ",'K7'!H121))</f>
        <v xml:space="preserve"> </v>
      </c>
      <c r="K5" s="287" t="str">
        <f>IF(BG!C28=ISBLANK(0)," ",IF(Bedarfe!H82=0," ",'K8'!H121))</f>
        <v xml:space="preserve"> </v>
      </c>
      <c r="L5" s="287" t="str">
        <f>IF(BG!C29=ISBLANK(0)," ",IF(Bedarfe!H82=0," ",'K9'!H121))</f>
        <v xml:space="preserve"> </v>
      </c>
      <c r="M5" s="287" t="str">
        <f>IF(BG!C30=ISBLANK(0)," ",IF(Bedarfe!H82=0," ",'K10'!H121))</f>
        <v xml:space="preserve"> </v>
      </c>
    </row>
    <row r="6" spans="1:13" x14ac:dyDescent="0.2">
      <c r="A6" s="810" t="s">
        <v>136</v>
      </c>
      <c r="B6" s="810"/>
      <c r="C6" s="810"/>
      <c r="D6" s="287" t="str">
        <f>IF(BG!C21=ISBLANK(0)," ",IF(Bedarfe!H82=0," ",Vermögen!G17))</f>
        <v xml:space="preserve"> </v>
      </c>
      <c r="E6" s="287" t="str">
        <f>IF(BG!C22=ISBLANK(0)," ",IF(Bedarfe!H82=0," ",Vermögen!H17))</f>
        <v xml:space="preserve"> </v>
      </c>
      <c r="F6" s="287" t="str">
        <f>IF(BG!C23=ISBLANK(0)," ",IF(Bedarfe!H82=0," ",Vermögen!I17))</f>
        <v xml:space="preserve"> </v>
      </c>
      <c r="G6" s="287" t="str">
        <f>IF(BG!C24=ISBLANK(0)," ",IF(Bedarfe!H82=0," ",Vermögen!J17))</f>
        <v xml:space="preserve"> </v>
      </c>
      <c r="H6" s="287" t="str">
        <f>IF(BG!C25=ISBLANK(0)," ",IF(Bedarfe!H82=0," ",Vermögen!K17))</f>
        <v xml:space="preserve"> </v>
      </c>
      <c r="I6" s="287" t="str">
        <f>IF(BG!C26=ISBLANK(0)," ",IF(Bedarfe!H82=0," ",Vermögen!L17))</f>
        <v xml:space="preserve"> </v>
      </c>
      <c r="J6" s="287" t="str">
        <f>IF(BG!C27=ISBLANK(0)," ",IF(Bedarfe!H82=0," ",Vermögen!M17))</f>
        <v xml:space="preserve"> </v>
      </c>
      <c r="K6" s="287" t="str">
        <f>IF(BG!C28=ISBLANK(0)," ",IF(Bedarfe!H82=0," ",Vermögen!E34))</f>
        <v xml:space="preserve"> </v>
      </c>
      <c r="L6" s="287" t="str">
        <f>IF(BG!C29=ISBLANK(0)," ",IF(Bedarfe!H82=0," ",Vermögen!F34))</f>
        <v xml:space="preserve"> </v>
      </c>
      <c r="M6" s="287" t="str">
        <f>IF(BG!C30=ISBLANK(0)," ",IF(Bedarfe!H82=0," ",Vermögen!G34))</f>
        <v xml:space="preserve"> </v>
      </c>
    </row>
    <row r="7" spans="1:13" x14ac:dyDescent="0.2">
      <c r="A7" s="810" t="s">
        <v>212</v>
      </c>
      <c r="B7" s="810"/>
      <c r="C7" s="810"/>
      <c r="D7" s="287" t="str">
        <f>IF(BG!C21=ISBLANK(0)," ",IF(Bedarfe!H82=0," ",IF((D4-D5-D6)&lt;0,0,D4-D5-D6)))</f>
        <v xml:space="preserve"> </v>
      </c>
      <c r="E7" s="287" t="str">
        <f>IF(BG!C22=ISBLANK(0)," ",IF(Bedarfe!H82=0," ",IF((E4-E5-E6)&lt;0,0,E4-E5-E6)))</f>
        <v xml:space="preserve"> </v>
      </c>
      <c r="F7" s="287" t="str">
        <f>IF(BG!C23=ISBLANK(0)," ",IF(Bedarfe!H82=0," ",IF((F4-F5-F6)&lt;0,0,F4-F5-F6)))</f>
        <v xml:space="preserve"> </v>
      </c>
      <c r="G7" s="287" t="str">
        <f>IF(BG!C24=ISBLANK(0)," ",IF(Bedarfe!H82=0," ",IF((G4-G5-G6)&lt;0,0,G4-G5-G6)))</f>
        <v xml:space="preserve"> </v>
      </c>
      <c r="H7" s="287" t="str">
        <f>IF(BG!C25=ISBLANK(0)," ",IF(Bedarfe!H82=0," ",IF((H4-H5-H6)&lt;0,0,H4-H5-H6)))</f>
        <v xml:space="preserve"> </v>
      </c>
      <c r="I7" s="287" t="str">
        <f>IF(BG!C26=ISBLANK(0)," ",IF(Bedarfe!H82=0," ",IF((I4-I5-I6)&lt;0,0,I4-I5-I6)))</f>
        <v xml:space="preserve"> </v>
      </c>
      <c r="J7" s="287" t="str">
        <f>IF(BG!C27=ISBLANK(0)," ",IF(Bedarfe!H82=0," ",IF(J4-J5-J6&lt;0,0,J4-J5-J6)))</f>
        <v xml:space="preserve"> </v>
      </c>
      <c r="K7" s="287" t="str">
        <f>IF(BG!C28=ISBLANK(0)," ",IF(Bedarfe!H82=0," ",IF(K4-K5-K6&lt;0,0,K4-K5-K6)))</f>
        <v xml:space="preserve"> </v>
      </c>
      <c r="L7" s="287" t="str">
        <f>IF(BG!C29=ISBLANK(0)," ",IF(Bedarfe!H82=0," ",IF(L4-L5-L6&lt;0,0,L4-L5-L6)))</f>
        <v xml:space="preserve"> </v>
      </c>
      <c r="M7" s="287" t="str">
        <f>IF(BG!C30=ISBLANK(0)," ",IF(Bedarfe!H82=0," ",IF(M4-M5-M6&lt;0,0,M4-M5-M6)))</f>
        <v xml:space="preserve"> </v>
      </c>
    </row>
    <row r="8" spans="1:13" x14ac:dyDescent="0.2">
      <c r="A8" s="810" t="s">
        <v>213</v>
      </c>
      <c r="B8" s="810"/>
      <c r="C8" s="810"/>
      <c r="D8" s="288" t="str">
        <f>IF(Bedarfe!H82=0," ",Bedarfe!E28)</f>
        <v xml:space="preserve"> </v>
      </c>
      <c r="E8" s="288" t="str">
        <f>IF(Bedarfe!H82=0," ",Bedarfe!F28)</f>
        <v xml:space="preserve"> </v>
      </c>
      <c r="F8" s="288" t="str">
        <f>IF(Bedarfe!H82=0," ",Bedarfe!G28)</f>
        <v xml:space="preserve"> </v>
      </c>
      <c r="G8" s="288" t="str">
        <f>IF(Bedarfe!H82=0," ",Bedarfe!H28)</f>
        <v xml:space="preserve"> </v>
      </c>
      <c r="H8" s="288" t="str">
        <f>IF(Bedarfe!H82=0," ",Bedarfe!I28)</f>
        <v xml:space="preserve"> </v>
      </c>
      <c r="I8" s="288" t="str">
        <f>IF(Bedarfe!H82=0," ",Bedarfe!J28)</f>
        <v xml:space="preserve"> </v>
      </c>
      <c r="J8" s="288" t="str">
        <f>IF(Bedarfe!H82=0," ",Bedarfe!K28)</f>
        <v xml:space="preserve"> </v>
      </c>
      <c r="K8" s="288" t="str">
        <f>IF(Bedarfe!H82=0," ",Bedarfe!L28)</f>
        <v xml:space="preserve"> </v>
      </c>
      <c r="L8" s="288" t="str">
        <f>IF(Bedarfe!H82=0," ",Bedarfe!M28)</f>
        <v xml:space="preserve"> </v>
      </c>
      <c r="M8" s="288" t="str">
        <f>IF(Bedarfe!H82=0," ",Bedarfe!C70)</f>
        <v xml:space="preserve"> </v>
      </c>
    </row>
    <row r="9" spans="1:13" x14ac:dyDescent="0.2">
      <c r="A9" s="810" t="s">
        <v>214</v>
      </c>
      <c r="B9" s="810"/>
      <c r="C9" s="810"/>
      <c r="D9" s="314" t="str">
        <f>IF(BG!C21=ISBLANK(0)," ",IF(BG!E21=".","kein KG",IF(BG!E21="nein"," ",IF(BG!E21="ja",IF(D8="ja",D7," ")))))</f>
        <v xml:space="preserve"> </v>
      </c>
      <c r="E9" s="314" t="str">
        <f>IF(BG!C22=ISBLANK(0)," ",IF(BG!E22=".","kein KG",IF(BG!E22="nein"," ",IF(BG!E22="ja",IF(E8="ja",E7," ")))))</f>
        <v xml:space="preserve"> </v>
      </c>
      <c r="F9" s="314" t="str">
        <f>IF(BG!C23=ISBLANK(0)," ",IF(BG!E23=".","kein KG",IF(BG!E23="nein"," ",IF(BG!E23="ja",IF(F8="ja",F7," ")))))</f>
        <v xml:space="preserve"> </v>
      </c>
      <c r="G9" s="314" t="str">
        <f>IF(BG!C24=ISBLANK(0)," ",IF(BG!E24=".","kein KG",IF(BG!E24="nein"," ",IF(BG!E24="ja",IF(G8="ja",G7," ")))))</f>
        <v xml:space="preserve"> </v>
      </c>
      <c r="H9" s="314" t="str">
        <f>IF(BG!C25=ISBLANK(0)," ",IF(BG!E25=".","kein KG",IF(BG!E25="nein"," ",IF(BG!E25="ja",IF(H8="ja",H7," ")))))</f>
        <v xml:space="preserve"> </v>
      </c>
      <c r="I9" s="314" t="str">
        <f>IF(BG!C26=ISBLANK(0)," ",IF(BG!E26=".","kein KG",IF(BG!E26="nein"," ",IF(BG!E26="ja",IF(I8="ja",I7," ")))))</f>
        <v xml:space="preserve"> </v>
      </c>
      <c r="J9" s="314" t="str">
        <f>IF(BG!C27=ISBLANK(0)," ",IF(BG!E27=".","kein KG",IF(BG!E27="nein"," ",IF(BG!E27="ja",IF(J8="ja",J7," ")))))</f>
        <v xml:space="preserve"> </v>
      </c>
      <c r="K9" s="314" t="str">
        <f>IF(BG!C28=ISBLANK(0)," ",IF(BG!E28=".","kein KG",IF(BG!E28="nein"," ",IF(BG!E28="ja",IF(K8="ja",K7," ")))))</f>
        <v xml:space="preserve"> </v>
      </c>
      <c r="L9" s="314" t="str">
        <f>IF(BG!C29=ISBLANK(0)," ",IF(BG!E29=".","kein KG",IF(BG!E29="nein"," ",IF(BG!E29="ja",IF(L8="ja",L7," ")))))</f>
        <v xml:space="preserve"> </v>
      </c>
      <c r="M9" s="314" t="str">
        <f>IF(BG!C30=ISBLANK(0)," ",IF(BG!E30=".","kein KG",IF(BG!E30="nein"," ",IF(BG!E30="ja",IF(M8="ja",M7," ")))))</f>
        <v xml:space="preserve"> </v>
      </c>
    </row>
    <row r="10" spans="1:13" x14ac:dyDescent="0.2">
      <c r="A10" s="810" t="str">
        <f>IF(I21&gt;0,"Kinderzuschlag ab Folgemonat"," ")</f>
        <v>Kinderzuschlag ab Folgemonat</v>
      </c>
      <c r="B10" s="810"/>
      <c r="C10" s="810"/>
      <c r="D10" s="287" t="str">
        <f>IF(D4=" "," ",IF(AND(D4=Datenblatt!O22,D6=0,I21&gt;0),D9,IF(AND(D8="ja",D6&gt;0,D7&gt;0),D4-D5," ")))</f>
        <v xml:space="preserve"> </v>
      </c>
      <c r="E10" s="287" t="str">
        <f>IF(E4=" "," ",IF(AND(E4=Datenblatt!O22,E6=0,I21&gt;0),E9,IF(AND(E8="ja",E6&gt;0,E7&gt;0),E4-E5," ")))</f>
        <v xml:space="preserve"> </v>
      </c>
      <c r="F10" s="287" t="str">
        <f>IF(F4=" "," ",IF(AND(F4=Datenblatt!O22,F6=0,I21&gt;0),F9,IF(AND(F8="ja",F6&gt;0,F7&gt;0),F4-F5," ")))</f>
        <v xml:space="preserve"> </v>
      </c>
      <c r="G10" s="287" t="str">
        <f>IF(G4=" "," ",IF(AND(G4=Datenblatt!O22,G6=0,I21&gt;0),G9,IF(AND(G8="ja",G6&gt;0,G7&gt;0),G4-G5," ")))</f>
        <v xml:space="preserve"> </v>
      </c>
      <c r="H10" s="287" t="str">
        <f>IF(H4=" "," ",IF(AND(H4=Datenblatt!O22,H6=0,I21&gt;0),H9,IF(AND(H8="ja",H6&gt;0,H7&gt;0),H4-H5," ")))</f>
        <v xml:space="preserve"> </v>
      </c>
      <c r="I10" s="287" t="str">
        <f>IF(I4=" "," ",IF(AND(I4=Datenblatt!O22,I6=0,I21&gt;0),I9,IF(AND(I8="ja",I6&gt;0,I7&gt;0),I4-I5," ")))</f>
        <v xml:space="preserve"> </v>
      </c>
      <c r="J10" s="287" t="str">
        <f>IF(J4=" "," ",IF(AND(J4=Datenblatt!O22,J6=0,I21&gt;0),J9,IF(AND(J8="ja",J6&gt;0,J7&gt;0),J4-J5," ")))</f>
        <v xml:space="preserve"> </v>
      </c>
      <c r="K10" s="287" t="str">
        <f>IF(K4=" "," ",IF(AND(K4=Datenblatt!O22,K6=0,I21&gt;0),K9,IF(AND(K8="ja",K6&gt;0,K7&gt;0),K4-K5," ")))</f>
        <v xml:space="preserve"> </v>
      </c>
      <c r="L10" s="287" t="str">
        <f>IF(L4=" "," ",IF(AND(L4=Datenblatt!O22,L6=0,I21&gt;0),L9,IF(AND(L8="ja",L6&gt;0,L7&gt;0),L4-L5," ")))</f>
        <v xml:space="preserve"> </v>
      </c>
      <c r="M10" s="287" t="str">
        <f>IF(M4=" "," ",IF(AND(M4=Datenblatt!O22,M6=0,I21&gt;0),M9,IF(AND(M8="ja",M6&gt;0,M7&gt;0),M4-M5," ")))</f>
        <v xml:space="preserve"> </v>
      </c>
    </row>
    <row r="11" spans="1:13" x14ac:dyDescent="0.2">
      <c r="A11" s="1199" t="s">
        <v>393</v>
      </c>
      <c r="B11" s="1199"/>
      <c r="C11" s="1199"/>
      <c r="D11" s="514" t="str">
        <f>IF(D6&gt;0,"ja","nein")</f>
        <v>ja</v>
      </c>
      <c r="E11" s="514" t="str">
        <f t="shared" ref="E11:M11" si="0">IF(E4=" ","nein",IF(E6&gt;0,"ja","nein"))</f>
        <v>nein</v>
      </c>
      <c r="F11" s="514" t="str">
        <f t="shared" si="0"/>
        <v>nein</v>
      </c>
      <c r="G11" s="514" t="str">
        <f t="shared" si="0"/>
        <v>nein</v>
      </c>
      <c r="H11" s="514" t="str">
        <f t="shared" si="0"/>
        <v>nein</v>
      </c>
      <c r="I11" s="514" t="str">
        <f t="shared" si="0"/>
        <v>nein</v>
      </c>
      <c r="J11" s="514" t="str">
        <f t="shared" si="0"/>
        <v>nein</v>
      </c>
      <c r="K11" s="514" t="str">
        <f t="shared" si="0"/>
        <v>nein</v>
      </c>
      <c r="L11" s="514" t="str">
        <f t="shared" si="0"/>
        <v>nein</v>
      </c>
      <c r="M11" s="514" t="str">
        <f t="shared" si="0"/>
        <v>nein</v>
      </c>
    </row>
    <row r="12" spans="1:13" x14ac:dyDescent="0.2">
      <c r="A12" s="84">
        <f>COUNTIF(BG!E21:E26,"ja")</f>
        <v>0</v>
      </c>
      <c r="B12" s="239"/>
      <c r="C12" s="239"/>
      <c r="D12" s="239"/>
      <c r="E12" s="239"/>
      <c r="F12" s="239"/>
      <c r="G12" s="239"/>
      <c r="H12" s="239"/>
      <c r="I12" s="239"/>
      <c r="J12" s="239"/>
      <c r="K12" s="239"/>
      <c r="L12" s="239"/>
      <c r="M12" s="239"/>
    </row>
    <row r="13" spans="1:13" x14ac:dyDescent="0.2">
      <c r="A13" s="239"/>
      <c r="B13" s="239"/>
      <c r="C13" s="239"/>
      <c r="D13" s="288" t="s">
        <v>344</v>
      </c>
      <c r="E13" s="288" t="s">
        <v>345</v>
      </c>
      <c r="F13" s="288" t="s">
        <v>378</v>
      </c>
      <c r="G13" s="288" t="s">
        <v>379</v>
      </c>
      <c r="H13" s="288" t="s">
        <v>380</v>
      </c>
      <c r="I13" s="245"/>
      <c r="J13" s="239"/>
      <c r="K13" s="239"/>
      <c r="L13" s="239"/>
      <c r="M13" s="239"/>
    </row>
    <row r="14" spans="1:13" x14ac:dyDescent="0.2">
      <c r="A14" s="810" t="s">
        <v>210</v>
      </c>
      <c r="B14" s="810"/>
      <c r="C14" s="873"/>
      <c r="D14" s="516" t="str">
        <f>IF(YEAR(BG!D2)&gt;2019," ",IF(BG!C31=ISBLANK(0)," ",IF(Bedarfe!H82=0," ",IF(Bedarfe!D64="ja",0,Datenblatt!O22))))</f>
        <v xml:space="preserve"> </v>
      </c>
      <c r="E14" s="516" t="str">
        <f>IF(YEAR(BG!D2)&gt;2019," ",IF(BG!C32=ISBLANK(0)," ",IF(Bedarfe!H82=0," ",IF(Bedarfe!E64="ja",0,Datenblatt!O22))))</f>
        <v xml:space="preserve"> </v>
      </c>
      <c r="F14" s="516" t="str">
        <f>IF(YEAR(BG!D2)&gt;2019," ",IF(BG!C33=ISBLANK(0)," ",IF(Bedarfe!H82=0," ",IF(Bedarfe!F64="ja",0,Datenblatt!O22))))</f>
        <v xml:space="preserve"> </v>
      </c>
      <c r="G14" s="516" t="str">
        <f>IF(YEAR(BG!D2)&gt;2019," ",IF(BG!C34=ISBLANK(0)," ",IF(Bedarfe!H82=0," ",IF(Bedarfe!G64="ja",0,Datenblatt!O22))))</f>
        <v xml:space="preserve"> </v>
      </c>
      <c r="H14" s="516" t="str">
        <f>IF(YEAR(BG!D2)&gt;2019," ",IF(BG!C35=ISBLANK(0)," ",IF(Bedarfe!H82=0," ",IF(Bedarfe!H64="ja",0,Datenblatt!O22))))</f>
        <v xml:space="preserve"> </v>
      </c>
      <c r="I14" s="239"/>
      <c r="J14" s="239"/>
      <c r="K14" s="239"/>
      <c r="L14" s="239"/>
      <c r="M14" s="239"/>
    </row>
    <row r="15" spans="1:13" x14ac:dyDescent="0.2">
      <c r="A15" s="810" t="s">
        <v>211</v>
      </c>
      <c r="B15" s="810"/>
      <c r="C15" s="873"/>
      <c r="D15" s="287" t="str">
        <f>IF(BG!C31=ISBLANK(0)," ",IF(Bedarfe!H82=0," ",'K11'!H121))</f>
        <v xml:space="preserve"> </v>
      </c>
      <c r="E15" s="287" t="str">
        <f>IF(BG!C32=ISBLANK(0)," ",IF(Bedarfe!H82=0," ",'K12'!H121))</f>
        <v xml:space="preserve"> </v>
      </c>
      <c r="F15" s="287" t="str">
        <f>IF(BG!C33=ISBLANK(0)," ",IF(Bedarfe!H82=0," ",'K13'!H121))</f>
        <v xml:space="preserve"> </v>
      </c>
      <c r="G15" s="287" t="str">
        <f>IF(BG!C34=ISBLANK(0)," ",IF(Bedarfe!H82=0," ",'K14'!H121))</f>
        <v xml:space="preserve"> </v>
      </c>
      <c r="H15" s="287" t="str">
        <f>IF(BG!C35=ISBLANK(0)," ",IF(Bedarfe!H82=0," ",'K15'!H121))</f>
        <v xml:space="preserve"> </v>
      </c>
      <c r="I15" s="239"/>
      <c r="J15" s="239"/>
      <c r="K15" s="239"/>
      <c r="L15" s="239"/>
      <c r="M15" s="239"/>
    </row>
    <row r="16" spans="1:13" x14ac:dyDescent="0.2">
      <c r="A16" s="810" t="s">
        <v>136</v>
      </c>
      <c r="B16" s="810"/>
      <c r="C16" s="873"/>
      <c r="D16" s="287" t="str">
        <f>IF(BG!C31=ISBLANK(0)," ",IF(Bedarfe!H82=0," ",Vermögen!H34))</f>
        <v xml:space="preserve"> </v>
      </c>
      <c r="E16" s="287" t="str">
        <f>IF(BG!C32=ISBLANK(0)," ",IF(Bedarfe!H82=0," ",Vermögen!I34))</f>
        <v xml:space="preserve"> </v>
      </c>
      <c r="F16" s="287" t="str">
        <f>IF(BG!C33=ISBLANK(0)," ",IF(Bedarfe!H82=0," ",Vermögen!J34))</f>
        <v xml:space="preserve"> </v>
      </c>
      <c r="G16" s="287" t="str">
        <f>IF(BG!C34=ISBLANK(0)," ",IF(Bedarfe!H82=0," ",Vermögen!K34))</f>
        <v xml:space="preserve"> </v>
      </c>
      <c r="H16" s="287" t="str">
        <f>IF(BG!C35=ISBLANK(0)," ",IF(Bedarfe!H82=0," ",Vermögen!L34))</f>
        <v xml:space="preserve"> </v>
      </c>
      <c r="I16" s="239"/>
      <c r="J16" s="239"/>
      <c r="K16" s="239"/>
      <c r="L16" s="239"/>
      <c r="M16" s="239"/>
    </row>
    <row r="17" spans="1:13" x14ac:dyDescent="0.2">
      <c r="A17" s="810" t="s">
        <v>212</v>
      </c>
      <c r="B17" s="810"/>
      <c r="C17" s="873"/>
      <c r="D17" s="287" t="str">
        <f>IF(BG!C31=ISBLANK(0)," ",IF(Bedarfe!H82=0," ",IF(D14-D15-D16&lt;0,0,D14-D15-D16)))</f>
        <v xml:space="preserve"> </v>
      </c>
      <c r="E17" s="287" t="str">
        <f>IF(BG!C32=ISBLANK(0)," ",IF(Bedarfe!H82=0," ",IF(E14-E15-E16&lt;0,0,E14-E15-E16)))</f>
        <v xml:space="preserve"> </v>
      </c>
      <c r="F17" s="287" t="str">
        <f>IF(BG!C33=ISBLANK(0)," ",IF(Bedarfe!H82=0," ",IF(F14-F15-F16&lt;0,0,F14-F15-F16)))</f>
        <v xml:space="preserve"> </v>
      </c>
      <c r="G17" s="287" t="str">
        <f>IF(BG!C34=ISBLANK(0)," ",IF(Bedarfe!H82=0," ",IF(G14-G15-G16&lt;0,0,G14-G15-G16)))</f>
        <v xml:space="preserve"> </v>
      </c>
      <c r="H17" s="287" t="str">
        <f>IF(BG!C35=ISBLANK(0)," ",IF(Bedarfe!H82=0," ",IF(H14-H15-H16&lt;0,0,H14-H15-H16)))</f>
        <v xml:space="preserve"> </v>
      </c>
      <c r="I17" s="239"/>
      <c r="J17" s="239"/>
      <c r="K17" s="239"/>
      <c r="L17" s="239"/>
      <c r="M17" s="239"/>
    </row>
    <row r="18" spans="1:13" x14ac:dyDescent="0.2">
      <c r="A18" s="810" t="s">
        <v>213</v>
      </c>
      <c r="B18" s="810"/>
      <c r="C18" s="873"/>
      <c r="D18" s="288" t="str">
        <f>IF(Bedarfe!H82=0," ",Bedarfe!D70)</f>
        <v xml:space="preserve"> </v>
      </c>
      <c r="E18" s="288" t="str">
        <f>IF(Bedarfe!H82=0," ",Bedarfe!E70)</f>
        <v xml:space="preserve"> </v>
      </c>
      <c r="F18" s="288" t="str">
        <f>IF(Bedarfe!H82=0," ",Bedarfe!F70)</f>
        <v xml:space="preserve"> </v>
      </c>
      <c r="G18" s="288" t="str">
        <f>IF(Bedarfe!H82=0," ",Bedarfe!G70)</f>
        <v xml:space="preserve"> </v>
      </c>
      <c r="H18" s="288" t="str">
        <f>IF(Bedarfe!H82=0," ",Bedarfe!H70)</f>
        <v xml:space="preserve"> </v>
      </c>
      <c r="I18" s="239"/>
      <c r="J18" s="239"/>
      <c r="K18" s="239"/>
      <c r="L18" s="239"/>
      <c r="M18" s="239"/>
    </row>
    <row r="19" spans="1:13" x14ac:dyDescent="0.2">
      <c r="A19" s="810" t="s">
        <v>214</v>
      </c>
      <c r="B19" s="810"/>
      <c r="C19" s="873"/>
      <c r="D19" s="314" t="str">
        <f>IF(BG!C31=ISBLANK(0)," ",IF(BG!E31=".","kein KG",IF(BG!E31="nein"," ",IF(BG!E31="ja",IF(D18="ja",D17," ")))))</f>
        <v xml:space="preserve"> </v>
      </c>
      <c r="E19" s="314" t="str">
        <f>IF(BG!C32=ISBLANK(0)," ",IF(BG!E32=".","kein KG",IF(BG!E32="nein"," ",IF(BG!E32="ja",IF(E18="ja",E17," ")))))</f>
        <v xml:space="preserve"> </v>
      </c>
      <c r="F19" s="287" t="str">
        <f>IF(BG!C33=ISBLANK(0)," ",IF(BG!E33=".","kein KG",IF(BG!E33="nein"," ",IF(BG!E33="ja",IF(F18="ja",F17," ")))))</f>
        <v xml:space="preserve"> </v>
      </c>
      <c r="G19" s="287" t="str">
        <f>IF(BG!C34=ISBLANK(0)," ",IF(BG!E34=".","kein KG",IF(BG!E34="nein"," ",IF(BG!E34="ja",IF(G18="ja",G17," ")))))</f>
        <v xml:space="preserve"> </v>
      </c>
      <c r="H19" s="287" t="str">
        <f>IF(BG!C35=ISBLANK(0)," ",IF(BG!E35=".","kein KG",IF(BG!E35="nein"," ",IF(BG!E35="ja",IF(H18="ja",H17," ")))))</f>
        <v xml:space="preserve"> </v>
      </c>
      <c r="I19" s="240"/>
      <c r="J19" s="239"/>
      <c r="K19" s="239"/>
      <c r="L19" s="239"/>
      <c r="M19" s="239"/>
    </row>
    <row r="20" spans="1:13" x14ac:dyDescent="0.2">
      <c r="A20" s="810" t="str">
        <f>IF(I21&gt;0,"Kinderzuschlag ab Folgemonat"," ")</f>
        <v>Kinderzuschlag ab Folgemonat</v>
      </c>
      <c r="B20" s="810"/>
      <c r="C20" s="810"/>
      <c r="D20" s="287" t="str">
        <f>IF(D14=" "," ",IF(AND(D14=Datenblatt!O22,D16=0,I21&gt;0),D19,IF(AND(D18="ja",D16&gt;0,D17&gt;0),D14-D15," ")))</f>
        <v xml:space="preserve"> </v>
      </c>
      <c r="E20" s="287" t="str">
        <f>IF(E14=" "," ",IF(AND(E14=Datenblatt!O22,E16=0,I21&gt;0),E19,IF(AND(E18="ja",E16&gt;0,E17&gt;0),E14-E15," ")))</f>
        <v xml:space="preserve"> </v>
      </c>
      <c r="F20" s="287" t="str">
        <f>IF(F14=" "," ",IF(AND(F14=Datenblatt!O22,F16=0,I21&gt;0),F19,IF(AND(F18="ja",F16&gt;0,F17&gt;0),F14-F15," ")))</f>
        <v xml:space="preserve"> </v>
      </c>
      <c r="G20" s="287" t="str">
        <f>IF(G14=" "," ",IF(AND(G14=Datenblatt!O22,G16=0,I21&gt;0),G19,IF(AND(G18="ja",G16&gt;0,G17&gt;0),G14-G15," ")))</f>
        <v xml:space="preserve"> </v>
      </c>
      <c r="H20" s="287" t="str">
        <f>IF(H14=" "," ",IF(AND(H14=Datenblatt!O22,H16=0,I21&gt;0),H19,IF(AND(H18="ja",H16&gt;0,H17&gt;0),H14-H15," ")))</f>
        <v xml:space="preserve"> </v>
      </c>
      <c r="I20" s="240"/>
      <c r="J20" s="239"/>
      <c r="K20" s="239"/>
      <c r="L20" s="239"/>
      <c r="M20" s="239"/>
    </row>
    <row r="21" spans="1:13" x14ac:dyDescent="0.2">
      <c r="A21" s="1200" t="s">
        <v>393</v>
      </c>
      <c r="B21" s="1200"/>
      <c r="C21" s="1200"/>
      <c r="D21" s="514" t="str">
        <f>IF(D14=" ","nein",IF(D16&gt;0,"ja","nein"))</f>
        <v>nein</v>
      </c>
      <c r="E21" s="514" t="str">
        <f>IF(E14=" ","nein",IF(E16&gt;0,"ja","nein"))</f>
        <v>nein</v>
      </c>
      <c r="F21" s="514" t="str">
        <f>IF(F14=" ","nein",IF(F16&gt;0,"ja","nein"))</f>
        <v>nein</v>
      </c>
      <c r="G21" s="514" t="str">
        <f>IF(G14=" ","nein",IF(G16&gt;0,"ja","nein"))</f>
        <v>nein</v>
      </c>
      <c r="H21" s="514" t="str">
        <f>IF(H14=" ","nein",IF(H16&gt;0,"ja","nein"))</f>
        <v>nein</v>
      </c>
      <c r="I21" s="84">
        <f>COUNTIF(D21:H21,"ja")+(COUNTIF(D11:M11,"ja"))</f>
        <v>1</v>
      </c>
      <c r="J21" s="84"/>
      <c r="K21" s="239"/>
      <c r="L21" s="239"/>
      <c r="M21" s="239"/>
    </row>
    <row r="22" spans="1:13" ht="15" x14ac:dyDescent="0.25">
      <c r="A22" s="915" t="s">
        <v>215</v>
      </c>
      <c r="B22" s="915"/>
      <c r="C22" s="931"/>
      <c r="D22" s="437">
        <f>IF(BG!D2&gt;BG!E2," ",SUM(D9:M9)+SUM(D19:H19))</f>
        <v>0</v>
      </c>
      <c r="E22" s="239"/>
      <c r="F22" s="239"/>
      <c r="G22" s="239"/>
      <c r="H22" s="239"/>
      <c r="I22" s="239"/>
      <c r="J22" s="239"/>
      <c r="K22" s="239"/>
      <c r="L22" s="239"/>
      <c r="M22" s="239"/>
    </row>
    <row r="23" spans="1:13" x14ac:dyDescent="0.2">
      <c r="A23" s="810" t="str">
        <f>IF(I21&gt;0,"GesamtKiZ ab Folgemonat"," ")</f>
        <v>GesamtKiZ ab Folgemonat</v>
      </c>
      <c r="B23" s="810"/>
      <c r="C23" s="810"/>
      <c r="D23" s="287">
        <f>IF(I21&gt;0,SUM(D10:M10)+SUM(D20:H20),0)</f>
        <v>0</v>
      </c>
      <c r="E23" s="239"/>
      <c r="F23" s="239"/>
      <c r="G23" s="239"/>
      <c r="H23" s="239"/>
      <c r="I23" s="239"/>
      <c r="J23" s="239"/>
      <c r="K23" s="239"/>
      <c r="L23" s="239"/>
      <c r="M23" s="239"/>
    </row>
    <row r="24" spans="1:13" x14ac:dyDescent="0.2">
      <c r="A24" s="239"/>
      <c r="B24" s="239"/>
      <c r="C24" s="239"/>
      <c r="D24" s="239"/>
      <c r="E24" s="239"/>
      <c r="F24" s="239"/>
      <c r="G24" s="239"/>
      <c r="H24" s="239"/>
      <c r="I24" s="239"/>
      <c r="J24" s="239"/>
      <c r="K24" s="239"/>
      <c r="L24" s="239"/>
      <c r="M24" s="239"/>
    </row>
    <row r="25" spans="1:13" x14ac:dyDescent="0.2">
      <c r="A25" s="239"/>
      <c r="B25" s="239"/>
      <c r="C25" s="239"/>
      <c r="D25" s="239"/>
      <c r="E25" s="239"/>
      <c r="F25" s="239"/>
      <c r="G25" s="239"/>
      <c r="H25" s="239"/>
      <c r="I25" s="239"/>
      <c r="J25" s="239"/>
      <c r="K25" s="239"/>
      <c r="L25" s="239"/>
      <c r="M25" s="239"/>
    </row>
    <row r="26" spans="1:13" x14ac:dyDescent="0.2">
      <c r="A26" s="239"/>
      <c r="B26" s="239"/>
      <c r="C26" s="239"/>
      <c r="D26" s="239"/>
      <c r="E26" s="239"/>
      <c r="F26" s="239"/>
      <c r="G26" s="239"/>
      <c r="H26" s="239"/>
      <c r="I26" s="239"/>
      <c r="J26" s="239"/>
      <c r="K26" s="239"/>
      <c r="L26" s="239"/>
      <c r="M26" s="239"/>
    </row>
    <row r="27" spans="1:13" x14ac:dyDescent="0.2">
      <c r="A27" s="239"/>
      <c r="B27" s="239"/>
      <c r="C27" s="239"/>
      <c r="D27" s="239"/>
      <c r="E27" s="239"/>
      <c r="F27" s="239"/>
      <c r="G27" s="239"/>
      <c r="H27" s="239"/>
      <c r="I27" s="239"/>
      <c r="J27" s="239"/>
      <c r="K27" s="239"/>
      <c r="L27" s="239"/>
      <c r="M27" s="239"/>
    </row>
    <row r="28" spans="1:13" x14ac:dyDescent="0.2">
      <c r="A28" s="239"/>
      <c r="B28" s="239"/>
      <c r="C28" s="239"/>
      <c r="D28" s="239"/>
      <c r="E28" s="239"/>
      <c r="F28" s="239"/>
      <c r="G28" s="239"/>
      <c r="H28" s="239"/>
      <c r="I28" s="239"/>
      <c r="J28" s="239"/>
      <c r="K28" s="239"/>
      <c r="L28" s="239"/>
      <c r="M28" s="239"/>
    </row>
    <row r="29" spans="1:13" ht="15" x14ac:dyDescent="0.25">
      <c r="A29" s="239"/>
      <c r="B29" s="349" t="str">
        <f>IF(BG!D2=ISBLANK(0),"Es wurde kein Antragsmonat angegeben.",IF(BG!D2&gt;BG!E2,"Bitte den Reiter Zur Anspruchsprüfung ab Januar 2020 auswählen.",IF(A12=0,"Es wurde für kein Kind in der Bedarfsgemeinschaft ein Kindergeldbezug ausgewählt.",IF(D22=0,"Es besteht kein Anspruch auf Kinderzuschlag!"," "))))</f>
        <v>Es wurde kein Antragsmonat angegeben.</v>
      </c>
      <c r="C29" s="239"/>
      <c r="D29" s="239"/>
      <c r="E29" s="239"/>
      <c r="F29" s="239"/>
      <c r="G29" s="239"/>
      <c r="H29" s="239"/>
      <c r="I29" s="239"/>
      <c r="J29" s="239"/>
      <c r="K29" s="239"/>
      <c r="L29" s="239"/>
      <c r="M29" s="239"/>
    </row>
    <row r="30" spans="1:13" x14ac:dyDescent="0.2">
      <c r="A30" s="239"/>
      <c r="B30" s="239"/>
      <c r="C30" s="239"/>
      <c r="D30" s="239"/>
      <c r="E30" s="239"/>
      <c r="F30" s="239"/>
      <c r="G30" s="239"/>
      <c r="H30" s="239"/>
      <c r="I30" s="239"/>
      <c r="J30" s="239"/>
      <c r="K30" s="239"/>
      <c r="L30" s="239"/>
      <c r="M30" s="239"/>
    </row>
    <row r="31" spans="1:13" x14ac:dyDescent="0.2">
      <c r="A31" s="239"/>
      <c r="B31" s="239"/>
      <c r="C31" s="239"/>
      <c r="D31" s="239"/>
      <c r="E31" s="239"/>
      <c r="F31" s="239"/>
      <c r="G31" s="239"/>
      <c r="H31" s="239"/>
      <c r="I31" s="239"/>
      <c r="J31" s="239"/>
      <c r="K31" s="239"/>
      <c r="L31" s="239"/>
      <c r="M31" s="239"/>
    </row>
    <row r="32" spans="1:13" x14ac:dyDescent="0.2">
      <c r="A32" s="239"/>
      <c r="B32" s="239"/>
      <c r="C32" s="239"/>
      <c r="D32" s="239"/>
      <c r="E32" s="239"/>
      <c r="F32" s="239"/>
      <c r="G32" s="239"/>
      <c r="H32" s="239"/>
      <c r="I32" s="239"/>
      <c r="J32" s="239"/>
      <c r="K32" s="239"/>
      <c r="L32" s="239"/>
      <c r="M32" s="239"/>
    </row>
    <row r="33" spans="1:13" x14ac:dyDescent="0.2">
      <c r="A33" s="239"/>
      <c r="B33" s="239"/>
      <c r="C33" s="239"/>
      <c r="D33" s="239"/>
      <c r="E33" s="239"/>
      <c r="F33" s="239"/>
      <c r="G33" s="239"/>
      <c r="H33" s="239"/>
      <c r="I33" s="239"/>
      <c r="J33" s="239"/>
      <c r="K33" s="239"/>
      <c r="L33" s="239"/>
      <c r="M33" s="239"/>
    </row>
    <row r="34" spans="1:13" x14ac:dyDescent="0.2">
      <c r="A34" s="239"/>
      <c r="B34" s="239"/>
      <c r="C34" s="239"/>
      <c r="D34" s="239"/>
      <c r="E34" s="239"/>
      <c r="F34" s="239"/>
      <c r="G34" s="239"/>
      <c r="H34" s="239"/>
      <c r="I34" s="239"/>
      <c r="J34" s="239"/>
      <c r="K34" s="239"/>
      <c r="L34" s="239"/>
      <c r="M34" s="239"/>
    </row>
    <row r="35" spans="1:13" x14ac:dyDescent="0.2">
      <c r="A35" s="239"/>
      <c r="B35" s="239"/>
      <c r="C35" s="239"/>
      <c r="D35" s="239"/>
      <c r="E35" s="239"/>
      <c r="F35" s="239"/>
      <c r="G35" s="239"/>
      <c r="H35" s="239"/>
      <c r="I35" s="239"/>
      <c r="J35" s="239"/>
      <c r="K35" s="239"/>
      <c r="L35" s="239"/>
      <c r="M35" s="239"/>
    </row>
    <row r="36" spans="1:13" ht="15" x14ac:dyDescent="0.25">
      <c r="A36" s="249" t="s">
        <v>324</v>
      </c>
      <c r="B36" s="239"/>
      <c r="C36" s="239"/>
      <c r="D36" s="239"/>
      <c r="E36" s="239"/>
      <c r="F36" s="239"/>
      <c r="G36" s="239"/>
      <c r="H36" s="239"/>
      <c r="I36" s="239"/>
      <c r="J36" s="239"/>
      <c r="K36" s="239"/>
      <c r="L36" s="239"/>
      <c r="M36" s="239"/>
    </row>
    <row r="37" spans="1:13" x14ac:dyDescent="0.2">
      <c r="A37" s="239"/>
      <c r="B37" s="239"/>
      <c r="C37" s="239"/>
      <c r="D37" s="239"/>
      <c r="E37" s="239"/>
      <c r="F37" s="239"/>
      <c r="G37" s="239"/>
      <c r="H37" s="239"/>
      <c r="I37" s="239"/>
      <c r="J37" s="239"/>
      <c r="K37" s="239"/>
      <c r="L37" s="239"/>
      <c r="M37" s="239"/>
    </row>
    <row r="38" spans="1:13" x14ac:dyDescent="0.2">
      <c r="A38" s="239"/>
      <c r="B38" s="239"/>
      <c r="C38" s="243">
        <v>2019</v>
      </c>
      <c r="D38" s="554">
        <v>2020</v>
      </c>
      <c r="E38" s="239"/>
      <c r="F38" s="239"/>
      <c r="G38" s="239"/>
      <c r="H38" s="239"/>
      <c r="I38" s="239"/>
      <c r="J38" s="239"/>
      <c r="K38" s="239"/>
      <c r="L38" s="239"/>
      <c r="M38" s="239"/>
    </row>
    <row r="39" spans="1:13" x14ac:dyDescent="0.2">
      <c r="A39" s="873" t="s">
        <v>216</v>
      </c>
      <c r="B39" s="874"/>
      <c r="C39" s="283" t="str">
        <f>IF(BG!D2&gt;BG!E2," ",IF(MEG!F83&lt;MEG!F85," ",IF(Bedarfe!H82=0," ",IF(D22=0," ",IF(AND(BG!D8="alleinerziehend",BG!F19="Student"),0,IF(AND(BG!F19="Student",BG!F20="Student"),0,IF(AND(BG!F19="Rentner",BG!F20="Rentner"),0,IF(AND(BG!D8="alleinerziehend",Bedarfe!C22="ja"),0,IF(COUNTIF(Bedarfe!C22:'Bedarfe'!D22,"ja")&gt;0,Bedarfe!C12,Datenblatt!B44+Datenblatt!C44)))))))))</f>
        <v xml:space="preserve"> </v>
      </c>
      <c r="D39" s="555" t="str">
        <f>C39</f>
        <v xml:space="preserve"> </v>
      </c>
      <c r="E39" s="239"/>
      <c r="F39" s="239"/>
      <c r="G39" s="239"/>
      <c r="H39" s="239"/>
      <c r="I39" s="239"/>
      <c r="J39" s="239"/>
      <c r="K39" s="239"/>
      <c r="L39" s="239"/>
      <c r="M39" s="239"/>
    </row>
    <row r="40" spans="1:13" x14ac:dyDescent="0.2">
      <c r="A40" s="873" t="s">
        <v>143</v>
      </c>
      <c r="B40" s="874"/>
      <c r="C40" s="524" t="str">
        <f>IF(BG!D2&gt;BG!E2," ",IF(MEG!F83&lt;MEG!F85," ",IF(D22=0," ",IF(AND(BG!D8="alleinerziehend",BG!F19="Student"),Bedarfe!C14,IF(AND(BG!F19="Student",BG!F20="Student"),Bedarfe!C14+Bedarfe!D14,IF(Bedarfe!H82=0," ",Datenblatt!B45+Datenblatt!C45))))))</f>
        <v xml:space="preserve"> </v>
      </c>
      <c r="D40" s="556" t="str">
        <f>C40</f>
        <v xml:space="preserve"> </v>
      </c>
      <c r="E40" s="239"/>
      <c r="F40" s="239"/>
      <c r="G40" s="239"/>
      <c r="H40" s="239"/>
      <c r="I40" s="239"/>
      <c r="J40" s="239"/>
      <c r="K40" s="239"/>
      <c r="L40" s="239"/>
      <c r="M40" s="239"/>
    </row>
    <row r="41" spans="1:13" ht="15" thickBot="1" x14ac:dyDescent="0.25">
      <c r="A41" s="1197" t="s">
        <v>217</v>
      </c>
      <c r="B41" s="1198"/>
      <c r="C41" s="525" t="str">
        <f>IF(BG!D2&gt;BG!E2," ",IF(MEG!F83&lt;MEG!F85," ",IF(D22=0," ",IF(Bedarfe!H82=0," ",IF(BG!D8="alleinerziehend",'anteilige Wohnkosten'!H6,'anteilige Wohnkosten'!H7)))))</f>
        <v xml:space="preserve"> </v>
      </c>
      <c r="D41" s="556" t="str">
        <f>IF(MEG!F83&lt;MEG!F85," ",IF(D22=0," ",IF(Bedarfe!H82=0," ",IF(BG!D8="alleinerziehend",'anteilige Wohnkosten'!H24,'anteilige Wohnkosten'!H25))))</f>
        <v xml:space="preserve"> </v>
      </c>
      <c r="E41" s="239"/>
      <c r="F41" s="239"/>
      <c r="G41" s="239"/>
      <c r="H41" s="239"/>
      <c r="I41" s="239"/>
      <c r="J41" s="239"/>
      <c r="K41" s="239"/>
      <c r="L41" s="239"/>
      <c r="M41" s="239"/>
    </row>
    <row r="42" spans="1:13" ht="15" thickTop="1" x14ac:dyDescent="0.2">
      <c r="A42" s="1212" t="s">
        <v>325</v>
      </c>
      <c r="B42" s="1213"/>
      <c r="C42" s="283" t="str">
        <f>IF(BG!D2&gt;BG!E2," ",IF(D22=0," ",IF(Bedarfe!H82=0," ",SUM(C39:C41))))</f>
        <v xml:space="preserve"> </v>
      </c>
      <c r="D42" s="556" t="str">
        <f>IF(D22=0," ",IF(Bedarfe!H82=0," ",SUM(D39:D41)))</f>
        <v xml:space="preserve"> </v>
      </c>
      <c r="E42" s="239"/>
      <c r="F42" s="239"/>
      <c r="G42" s="239"/>
      <c r="H42" s="239"/>
      <c r="I42" s="239"/>
      <c r="J42" s="239"/>
      <c r="K42" s="239"/>
      <c r="L42" s="239"/>
      <c r="M42" s="239"/>
    </row>
    <row r="43" spans="1:13" x14ac:dyDescent="0.2">
      <c r="A43" s="239"/>
      <c r="B43" s="239"/>
      <c r="C43" s="239"/>
      <c r="D43" s="239"/>
      <c r="E43" s="239"/>
      <c r="F43" s="239"/>
      <c r="G43" s="239"/>
      <c r="H43" s="239"/>
      <c r="I43" s="239"/>
      <c r="J43" s="239"/>
      <c r="K43" s="239"/>
      <c r="L43" s="239"/>
      <c r="M43" s="239"/>
    </row>
    <row r="44" spans="1:13" x14ac:dyDescent="0.2">
      <c r="A44" s="239"/>
      <c r="B44" s="239"/>
      <c r="C44" s="239"/>
      <c r="D44" s="239"/>
      <c r="E44" s="239"/>
      <c r="F44" s="239"/>
      <c r="G44" s="239"/>
      <c r="H44" s="239"/>
      <c r="I44" s="239"/>
      <c r="J44" s="239"/>
      <c r="K44" s="239"/>
      <c r="L44" s="239"/>
      <c r="M44" s="239"/>
    </row>
    <row r="45" spans="1:13" ht="15" x14ac:dyDescent="0.25">
      <c r="A45" s="249" t="s">
        <v>272</v>
      </c>
      <c r="B45" s="239"/>
      <c r="C45" s="239"/>
      <c r="D45" s="239"/>
      <c r="E45" s="239"/>
      <c r="F45" s="239"/>
      <c r="G45" s="239"/>
      <c r="H45" s="239"/>
      <c r="I45" s="239"/>
      <c r="J45" s="239"/>
      <c r="K45" s="239"/>
      <c r="L45" s="239"/>
      <c r="M45" s="239"/>
    </row>
    <row r="46" spans="1:13" x14ac:dyDescent="0.2">
      <c r="A46" s="239"/>
      <c r="B46" s="239"/>
      <c r="C46" s="239"/>
      <c r="D46" s="239"/>
      <c r="E46" s="239"/>
      <c r="F46" s="239"/>
      <c r="G46" s="239"/>
      <c r="H46" s="239"/>
      <c r="I46" s="239"/>
      <c r="J46" s="239"/>
      <c r="K46" s="239"/>
      <c r="L46" s="239"/>
      <c r="M46" s="239"/>
    </row>
    <row r="47" spans="1:13" x14ac:dyDescent="0.2">
      <c r="A47" s="239"/>
      <c r="B47" s="239"/>
      <c r="C47" s="243">
        <v>2019</v>
      </c>
      <c r="D47" s="345"/>
      <c r="E47" s="239"/>
      <c r="F47" s="239"/>
      <c r="G47" s="239"/>
      <c r="H47" s="239"/>
      <c r="I47" s="239"/>
      <c r="J47" s="239"/>
      <c r="K47" s="239"/>
      <c r="L47" s="239"/>
      <c r="M47" s="239"/>
    </row>
    <row r="48" spans="1:13" x14ac:dyDescent="0.2">
      <c r="A48" s="810" t="s">
        <v>325</v>
      </c>
      <c r="B48" s="810"/>
      <c r="C48" s="517" t="str">
        <f>IF(BG!D2&gt;BG!E2," ",C42)</f>
        <v xml:space="preserve"> </v>
      </c>
      <c r="D48" s="311"/>
      <c r="E48" s="239"/>
      <c r="F48" s="239"/>
      <c r="G48" s="239"/>
      <c r="H48" s="239"/>
      <c r="I48" s="239"/>
      <c r="J48" s="239"/>
      <c r="K48" s="239"/>
      <c r="L48" s="239"/>
      <c r="M48" s="239"/>
    </row>
    <row r="49" spans="1:13" ht="15" thickBot="1" x14ac:dyDescent="0.25">
      <c r="A49" s="1215" t="s">
        <v>223</v>
      </c>
      <c r="B49" s="1215"/>
      <c r="C49" s="518" t="str">
        <f>IF(BG!D2&gt;BG!E2," ",IF(D22=0," ",IF(Bedarfe!H82=0," ",D22)))</f>
        <v xml:space="preserve"> </v>
      </c>
      <c r="D49" s="311"/>
      <c r="E49" s="239"/>
      <c r="F49" s="239"/>
      <c r="G49" s="239"/>
      <c r="H49" s="239"/>
      <c r="I49" s="239"/>
      <c r="J49" s="239"/>
      <c r="K49" s="239"/>
      <c r="L49" s="239"/>
      <c r="M49" s="239"/>
    </row>
    <row r="50" spans="1:13" ht="15" thickTop="1" x14ac:dyDescent="0.2">
      <c r="A50" s="1194" t="s">
        <v>224</v>
      </c>
      <c r="B50" s="1195"/>
      <c r="C50" s="260"/>
      <c r="D50" s="345"/>
      <c r="E50" s="239"/>
      <c r="F50" s="239"/>
      <c r="G50" s="239"/>
      <c r="H50" s="239"/>
      <c r="I50" s="239"/>
      <c r="J50" s="239"/>
      <c r="K50" s="239"/>
      <c r="L50" s="239"/>
      <c r="M50" s="239"/>
    </row>
    <row r="51" spans="1:13" x14ac:dyDescent="0.2">
      <c r="A51" s="906" t="s">
        <v>225</v>
      </c>
      <c r="B51" s="907"/>
      <c r="C51" s="296" t="str">
        <f>IF(BG!D2&gt;BG!E2," ",IF(D22=0," ",IF(Bedarfe!H82=0," ",C48+C49)))</f>
        <v xml:space="preserve"> </v>
      </c>
      <c r="D51" s="311"/>
      <c r="E51" s="239"/>
      <c r="F51" s="239"/>
      <c r="G51" s="239"/>
      <c r="H51" s="239"/>
      <c r="I51" s="239"/>
      <c r="J51" s="239"/>
      <c r="K51" s="239"/>
      <c r="L51" s="239"/>
      <c r="M51" s="239"/>
    </row>
    <row r="52" spans="1:13" x14ac:dyDescent="0.2">
      <c r="A52" s="239"/>
      <c r="B52" s="239"/>
      <c r="C52" s="239"/>
      <c r="D52" s="239"/>
      <c r="E52" s="239"/>
      <c r="F52" s="239"/>
      <c r="G52" s="239"/>
      <c r="H52" s="239"/>
      <c r="I52" s="239"/>
      <c r="J52" s="239"/>
      <c r="K52" s="239"/>
      <c r="L52" s="239"/>
      <c r="M52" s="239"/>
    </row>
    <row r="53" spans="1:13" x14ac:dyDescent="0.2">
      <c r="A53" s="239"/>
      <c r="B53" s="239"/>
      <c r="C53" s="239"/>
      <c r="D53" s="239"/>
      <c r="E53" s="239"/>
      <c r="F53" s="239"/>
      <c r="G53" s="239"/>
      <c r="H53" s="239"/>
      <c r="I53" s="239"/>
      <c r="J53" s="239"/>
      <c r="K53" s="239"/>
      <c r="L53" s="239"/>
      <c r="M53" s="239"/>
    </row>
    <row r="54" spans="1:13" x14ac:dyDescent="0.2">
      <c r="A54" s="239"/>
      <c r="B54" s="239"/>
      <c r="C54" s="239"/>
      <c r="D54" s="239"/>
      <c r="E54" s="239"/>
      <c r="F54" s="239"/>
      <c r="G54" s="239"/>
      <c r="H54" s="239"/>
      <c r="I54" s="239"/>
      <c r="J54" s="239"/>
      <c r="K54" s="239"/>
      <c r="L54" s="239"/>
      <c r="M54" s="239"/>
    </row>
    <row r="55" spans="1:13" x14ac:dyDescent="0.2">
      <c r="A55" s="239"/>
      <c r="B55" s="239"/>
      <c r="C55" s="239"/>
      <c r="D55" s="239"/>
      <c r="E55" s="239"/>
      <c r="F55" s="239"/>
      <c r="G55" s="239"/>
      <c r="H55" s="239"/>
      <c r="I55" s="239"/>
      <c r="J55" s="239"/>
      <c r="K55" s="239"/>
      <c r="L55" s="239"/>
      <c r="M55" s="239"/>
    </row>
    <row r="56" spans="1:13" x14ac:dyDescent="0.2">
      <c r="A56" s="810" t="s">
        <v>47</v>
      </c>
      <c r="B56" s="810"/>
      <c r="C56" s="287" t="str">
        <f>IF(BG!D2&gt;BG!E2," ",IF(Bedarfe!H82=0," ",IF(D22=0," ",Bedarfe!C82)))</f>
        <v xml:space="preserve"> </v>
      </c>
      <c r="D56" s="239"/>
      <c r="E56" s="239"/>
      <c r="F56" s="239"/>
      <c r="G56" s="239"/>
      <c r="H56" s="239"/>
      <c r="I56" s="239"/>
      <c r="J56" s="239"/>
      <c r="K56" s="239"/>
      <c r="L56" s="239"/>
      <c r="M56" s="239"/>
    </row>
    <row r="57" spans="1:13" x14ac:dyDescent="0.2">
      <c r="A57" s="810" t="s">
        <v>326</v>
      </c>
      <c r="B57" s="810"/>
      <c r="C57" s="287" t="str">
        <f>IF(BG!D2&gt;BG!E2," ",IF(Bedarfe!H82=0," ",IF(D22=0," ",Bedarfe!C84+Bedarfe!D87)))</f>
        <v xml:space="preserve"> </v>
      </c>
      <c r="D57" s="239"/>
      <c r="E57" s="239"/>
      <c r="F57" s="239"/>
      <c r="G57" s="239"/>
      <c r="H57" s="239"/>
      <c r="I57" s="239"/>
      <c r="J57" s="239"/>
      <c r="K57" s="239"/>
      <c r="L57" s="239"/>
      <c r="M57" s="239"/>
    </row>
    <row r="58" spans="1:13" x14ac:dyDescent="0.2">
      <c r="A58" s="810" t="s">
        <v>84</v>
      </c>
      <c r="B58" s="810"/>
      <c r="C58" s="287" t="str">
        <f>IF(BG!D2&gt;BG!E2," ",IF(MEG!F83&lt;MEG!F85," ",IF(Bedarfe!H82=0," ",IF(D22=0," ",C56+C57))))</f>
        <v xml:space="preserve"> </v>
      </c>
      <c r="D58" s="239"/>
      <c r="E58" s="239"/>
      <c r="F58" s="239"/>
      <c r="G58" s="239"/>
      <c r="H58" s="239"/>
      <c r="I58" s="239"/>
      <c r="J58" s="239"/>
      <c r="K58" s="239"/>
      <c r="L58" s="239"/>
      <c r="M58" s="239"/>
    </row>
    <row r="59" spans="1:13" x14ac:dyDescent="0.2">
      <c r="A59" s="415" t="s">
        <v>226</v>
      </c>
      <c r="B59" s="239"/>
      <c r="C59" s="239"/>
      <c r="D59" s="239"/>
      <c r="E59" s="239"/>
      <c r="F59" s="239"/>
      <c r="G59" s="239"/>
      <c r="H59" s="239"/>
      <c r="I59" s="239"/>
      <c r="J59" s="239"/>
      <c r="K59" s="239"/>
      <c r="L59" s="239"/>
      <c r="M59" s="239"/>
    </row>
    <row r="60" spans="1:13" x14ac:dyDescent="0.2">
      <c r="A60" s="239"/>
      <c r="B60" s="239"/>
      <c r="C60" s="239"/>
      <c r="D60" s="239"/>
      <c r="E60" s="239"/>
      <c r="F60" s="239"/>
      <c r="G60" s="239"/>
      <c r="H60" s="239"/>
      <c r="I60" s="239"/>
      <c r="J60" s="239"/>
      <c r="K60" s="239"/>
      <c r="L60" s="239"/>
      <c r="M60" s="239"/>
    </row>
    <row r="61" spans="1:13" x14ac:dyDescent="0.2">
      <c r="A61" s="819" t="str">
        <f>IF(BG!D2&gt;BG!E2," ",IF(D22=0,"  ",IF(Bedarfe!H82=0," ",IF(C58&gt;C51,"Die Höchsteinkommensgrenze wird überschritten. Es besteht kein Anspruch auf Kinderzuschlag.","Die Höchsteinkommensgrenze wird nicht überschritten. Der Anspruch auf Kinderzuschlag ist weiter zu prüfen."))))</f>
        <v xml:space="preserve">  </v>
      </c>
      <c r="B61" s="819"/>
      <c r="C61" s="819"/>
      <c r="D61" s="819"/>
      <c r="E61" s="239"/>
      <c r="F61" s="239"/>
      <c r="G61" s="239"/>
      <c r="H61" s="239"/>
      <c r="I61" s="239"/>
      <c r="J61" s="239"/>
      <c r="K61" s="239"/>
      <c r="L61" s="239"/>
      <c r="M61" s="239"/>
    </row>
    <row r="62" spans="1:13" x14ac:dyDescent="0.2">
      <c r="A62" s="819"/>
      <c r="B62" s="819"/>
      <c r="C62" s="819"/>
      <c r="D62" s="819"/>
      <c r="E62" s="239"/>
      <c r="F62" s="239"/>
      <c r="G62" s="239"/>
      <c r="H62" s="239"/>
      <c r="I62" s="239"/>
      <c r="J62" s="239"/>
      <c r="K62" s="239"/>
      <c r="L62" s="239"/>
      <c r="M62" s="239"/>
    </row>
    <row r="63" spans="1:13" x14ac:dyDescent="0.2">
      <c r="A63" s="819"/>
      <c r="B63" s="819"/>
      <c r="C63" s="819"/>
      <c r="D63" s="819"/>
      <c r="E63" s="239"/>
      <c r="F63" s="239"/>
      <c r="G63" s="239"/>
      <c r="H63" s="239"/>
      <c r="I63" s="239"/>
      <c r="J63" s="239"/>
      <c r="K63" s="239"/>
      <c r="L63" s="239"/>
      <c r="M63" s="239"/>
    </row>
    <row r="64" spans="1:13" x14ac:dyDescent="0.2">
      <c r="A64" s="819"/>
      <c r="B64" s="819"/>
      <c r="C64" s="819"/>
      <c r="D64" s="819"/>
      <c r="E64" s="239"/>
      <c r="F64" s="239"/>
      <c r="G64" s="239"/>
      <c r="H64" s="239"/>
      <c r="I64" s="239"/>
      <c r="J64" s="239"/>
      <c r="K64" s="239"/>
      <c r="L64" s="239"/>
      <c r="M64" s="239"/>
    </row>
    <row r="65" spans="1:13" x14ac:dyDescent="0.2">
      <c r="A65" s="819"/>
      <c r="B65" s="819"/>
      <c r="C65" s="819"/>
      <c r="D65" s="819"/>
      <c r="E65" s="239"/>
      <c r="F65" s="239"/>
      <c r="G65" s="239"/>
      <c r="H65" s="239"/>
      <c r="I65" s="239"/>
      <c r="J65" s="239"/>
      <c r="K65" s="239"/>
      <c r="L65" s="239"/>
      <c r="M65" s="239"/>
    </row>
    <row r="66" spans="1:13" x14ac:dyDescent="0.2">
      <c r="A66" s="239"/>
      <c r="B66" s="239"/>
      <c r="C66" s="239"/>
      <c r="D66" s="239"/>
      <c r="E66" s="239"/>
      <c r="F66" s="239"/>
      <c r="G66" s="239"/>
      <c r="H66" s="239"/>
      <c r="I66" s="239"/>
      <c r="J66" s="239"/>
      <c r="K66" s="239"/>
      <c r="L66" s="239"/>
      <c r="M66" s="239"/>
    </row>
    <row r="67" spans="1:13" x14ac:dyDescent="0.2">
      <c r="A67" s="239"/>
      <c r="B67" s="239"/>
      <c r="C67" s="239"/>
      <c r="D67" s="239"/>
      <c r="E67" s="239"/>
      <c r="F67" s="239"/>
      <c r="G67" s="239"/>
      <c r="H67" s="239"/>
      <c r="I67" s="239"/>
      <c r="J67" s="239"/>
      <c r="K67" s="239"/>
      <c r="L67" s="239"/>
      <c r="M67" s="239"/>
    </row>
    <row r="68" spans="1:13" x14ac:dyDescent="0.2">
      <c r="A68" s="239"/>
      <c r="B68" s="239"/>
      <c r="C68" s="239"/>
      <c r="D68" s="239"/>
      <c r="E68" s="239"/>
      <c r="F68" s="239"/>
      <c r="G68" s="239"/>
      <c r="H68" s="239"/>
      <c r="I68" s="239"/>
      <c r="J68" s="239"/>
      <c r="K68" s="239"/>
      <c r="L68" s="239"/>
      <c r="M68" s="239"/>
    </row>
    <row r="69" spans="1:13" ht="15" x14ac:dyDescent="0.25">
      <c r="A69" s="249" t="s">
        <v>271</v>
      </c>
      <c r="B69" s="239"/>
      <c r="C69" s="239"/>
      <c r="D69" s="239"/>
      <c r="E69" s="239"/>
      <c r="F69" s="239"/>
      <c r="G69" s="239"/>
      <c r="H69" s="239"/>
      <c r="I69" s="239"/>
      <c r="J69" s="239"/>
      <c r="K69" s="239"/>
      <c r="L69" s="239"/>
      <c r="M69" s="239"/>
    </row>
    <row r="70" spans="1:13" x14ac:dyDescent="0.2">
      <c r="A70" s="239"/>
      <c r="B70" s="239"/>
      <c r="C70" s="239"/>
      <c r="D70" s="239"/>
      <c r="E70" s="239"/>
      <c r="F70" s="239"/>
      <c r="G70" s="239"/>
      <c r="H70" s="239"/>
      <c r="I70" s="239"/>
      <c r="J70" s="239"/>
      <c r="K70" s="239"/>
      <c r="L70" s="239"/>
      <c r="M70" s="239"/>
    </row>
    <row r="71" spans="1:13" x14ac:dyDescent="0.2">
      <c r="A71" s="239"/>
      <c r="B71" s="239"/>
      <c r="C71" s="239"/>
      <c r="D71" s="243">
        <v>2019</v>
      </c>
      <c r="E71" s="554">
        <v>2020</v>
      </c>
      <c r="F71" s="239"/>
      <c r="G71" s="239"/>
      <c r="H71" s="239"/>
      <c r="I71" s="239"/>
      <c r="J71" s="243">
        <v>2019</v>
      </c>
      <c r="K71" s="557">
        <v>2020</v>
      </c>
      <c r="L71" s="239"/>
      <c r="M71" s="239"/>
    </row>
    <row r="72" spans="1:13" x14ac:dyDescent="0.2">
      <c r="A72" s="810" t="s">
        <v>303</v>
      </c>
      <c r="B72" s="810"/>
      <c r="C72" s="810"/>
      <c r="D72" s="287" t="str">
        <f>IF(BG!D2&gt;BG!E2," ",IF(C58&gt;=C51," ",IF(D22=0," ",Datenblatt!G55+Datenblatt!H55+Bedarfe!D87)))</f>
        <v xml:space="preserve"> </v>
      </c>
      <c r="E72" s="356" t="str">
        <f>D72</f>
        <v xml:space="preserve"> </v>
      </c>
      <c r="F72" s="239"/>
      <c r="G72" s="873" t="s">
        <v>227</v>
      </c>
      <c r="H72" s="1196"/>
      <c r="I72" s="874"/>
      <c r="J72" s="287" t="str">
        <f>IF(BG!D2&gt;BG!E2," ",IF(C58&gt;=C51," ",IF(D22=0," ",D22)))</f>
        <v xml:space="preserve"> </v>
      </c>
      <c r="K72" s="558" t="str">
        <f>J72</f>
        <v xml:space="preserve"> </v>
      </c>
      <c r="L72" s="239"/>
      <c r="M72" s="239"/>
    </row>
    <row r="73" spans="1:13" x14ac:dyDescent="0.2">
      <c r="A73" s="810" t="s">
        <v>305</v>
      </c>
      <c r="B73" s="810"/>
      <c r="C73" s="810"/>
      <c r="D73" s="287" t="str">
        <f>IF(BG!D2&gt;BG!E2," ",IF(C58&gt;=C51," ",IF(D22=0," ",Datenblatt!G59+Datenblatt!H59)))</f>
        <v xml:space="preserve"> </v>
      </c>
      <c r="E73" s="356" t="str">
        <f>D73</f>
        <v xml:space="preserve"> </v>
      </c>
      <c r="F73" s="239"/>
      <c r="G73" s="873" t="str">
        <f>IF(D23=D22," ",IF(I21&gt;0,"Kinderzuschlag ab Folgemonat:"," "))</f>
        <v xml:space="preserve"> </v>
      </c>
      <c r="H73" s="1196"/>
      <c r="I73" s="874"/>
      <c r="J73" s="287" t="str">
        <f>IF(BG!D2&gt;BG!E2," ",IF(D23=D22," ",D23))</f>
        <v xml:space="preserve"> </v>
      </c>
      <c r="K73" s="559" t="str">
        <f>J73</f>
        <v xml:space="preserve"> </v>
      </c>
      <c r="L73" s="239"/>
      <c r="M73" s="239"/>
    </row>
    <row r="74" spans="1:13" x14ac:dyDescent="0.2">
      <c r="A74" s="1214" t="s">
        <v>84</v>
      </c>
      <c r="B74" s="1214"/>
      <c r="C74" s="1214"/>
      <c r="D74" s="287" t="str">
        <f>IF(BG!D2&gt;BG!E2," ",IF(C58&gt;=C51," ",IF(D22=0," ",D72+D73)))</f>
        <v xml:space="preserve"> </v>
      </c>
      <c r="E74" s="356" t="str">
        <f>D74</f>
        <v xml:space="preserve"> </v>
      </c>
      <c r="F74" s="239"/>
      <c r="G74" s="873" t="s">
        <v>228</v>
      </c>
      <c r="H74" s="1196"/>
      <c r="I74" s="874"/>
      <c r="J74" s="287"/>
      <c r="K74" s="557"/>
      <c r="L74" s="239"/>
      <c r="M74" s="239"/>
    </row>
    <row r="75" spans="1:13" x14ac:dyDescent="0.2">
      <c r="A75" s="810" t="s">
        <v>325</v>
      </c>
      <c r="B75" s="810"/>
      <c r="C75" s="810"/>
      <c r="D75" s="287" t="str">
        <f>IF(BG!D2&gt;BG!E2," ",IF(C58&gt;=C51," ",C42))</f>
        <v xml:space="preserve"> </v>
      </c>
      <c r="E75" s="356" t="str">
        <f>D42</f>
        <v xml:space="preserve"> </v>
      </c>
      <c r="F75" s="239"/>
      <c r="G75" s="1191" t="s">
        <v>328</v>
      </c>
      <c r="H75" s="1192"/>
      <c r="I75" s="1193"/>
      <c r="J75" s="519"/>
      <c r="K75" s="557"/>
      <c r="L75" s="239"/>
      <c r="M75" s="239"/>
    </row>
    <row r="76" spans="1:13" x14ac:dyDescent="0.2">
      <c r="A76" s="1209" t="s">
        <v>304</v>
      </c>
      <c r="B76" s="1209"/>
      <c r="C76" s="1209"/>
      <c r="D76" s="519"/>
      <c r="E76" s="557"/>
      <c r="F76" s="239"/>
      <c r="G76" s="1201" t="s">
        <v>327</v>
      </c>
      <c r="H76" s="1202"/>
      <c r="I76" s="1203"/>
      <c r="J76" s="520" t="str">
        <f>IF(BG!D2&gt;BG!E2," ",IF(C58&gt;=C51," ",IF(D22=0," ",IF((D72-D75)&lt;=0,0,D72-D75))))</f>
        <v xml:space="preserve"> </v>
      </c>
      <c r="K76" s="558" t="str">
        <f>IF(C58&gt;=C51," ",IF(D22=0," ",IF((E72-E75)&lt;=0,0,E72-E75)))</f>
        <v xml:space="preserve"> </v>
      </c>
      <c r="L76" s="239"/>
      <c r="M76" s="239"/>
    </row>
    <row r="77" spans="1:13" x14ac:dyDescent="0.2">
      <c r="A77" s="1210" t="s">
        <v>327</v>
      </c>
      <c r="B77" s="1210"/>
      <c r="C77" s="1210"/>
      <c r="D77" s="520" t="str">
        <f>IF(BG!D2&gt;BG!E2," ",IF(C58&gt;=C51," ",IF(D22=0," ",IF(D74-D75&lt;0,0,D74-D75))))</f>
        <v xml:space="preserve"> </v>
      </c>
      <c r="E77" s="558" t="str">
        <f>IF(C58&gt;=C51," ",IF(D22=0," ",IF(E74-E75&lt;0,0,E74-E75)))</f>
        <v xml:space="preserve"> </v>
      </c>
      <c r="F77" s="239"/>
      <c r="G77" s="1191" t="s">
        <v>229</v>
      </c>
      <c r="H77" s="1192"/>
      <c r="I77" s="1193"/>
      <c r="J77" s="521"/>
      <c r="K77" s="558"/>
      <c r="L77" s="239"/>
      <c r="M77" s="239"/>
    </row>
    <row r="78" spans="1:13" x14ac:dyDescent="0.2">
      <c r="A78" s="239"/>
      <c r="B78" s="239"/>
      <c r="C78" s="239"/>
      <c r="D78" s="239"/>
      <c r="E78" s="239"/>
      <c r="F78" s="239"/>
      <c r="G78" s="1201" t="s">
        <v>329</v>
      </c>
      <c r="H78" s="1202"/>
      <c r="I78" s="1203"/>
      <c r="J78" s="520" t="str">
        <f>IF(BG!D2&gt;BG!E2," ",IF(C58&gt;=C51," ",IF(D22=0," ",IF(D77=0,0,(D74-D75-J76)))))</f>
        <v xml:space="preserve"> </v>
      </c>
      <c r="K78" s="558" t="str">
        <f>IF(C58&gt;=C51," ",IF(D22=0," ",IF(E77=0,0,(E74-E75-J76))))</f>
        <v xml:space="preserve"> </v>
      </c>
      <c r="L78" s="239"/>
      <c r="M78" s="239"/>
    </row>
    <row r="79" spans="1:13" x14ac:dyDescent="0.2">
      <c r="A79" s="239"/>
      <c r="B79" s="239"/>
      <c r="C79" s="239"/>
      <c r="D79" s="239"/>
      <c r="E79" s="239"/>
      <c r="F79" s="239"/>
      <c r="G79" s="904" t="s">
        <v>253</v>
      </c>
      <c r="H79" s="1204"/>
      <c r="I79" s="905"/>
      <c r="J79" s="275"/>
      <c r="K79" s="558"/>
      <c r="L79" s="239"/>
      <c r="M79" s="239"/>
    </row>
    <row r="80" spans="1:13" x14ac:dyDescent="0.2">
      <c r="A80" s="239"/>
      <c r="B80" s="239"/>
      <c r="C80" s="239"/>
      <c r="D80" s="239"/>
      <c r="E80" s="239"/>
      <c r="F80" s="239"/>
      <c r="G80" s="1205" t="s">
        <v>254</v>
      </c>
      <c r="H80" s="1206"/>
      <c r="I80" s="1207"/>
      <c r="J80" s="296" t="str">
        <f>IF(BG!D2&gt;BG!E2," ",IF(C58&gt;=C51," ",IF(D22=0," ",J78/2)))</f>
        <v xml:space="preserve"> </v>
      </c>
      <c r="K80" s="558"/>
      <c r="L80" s="239"/>
      <c r="M80" s="239"/>
    </row>
    <row r="81" spans="1:13" x14ac:dyDescent="0.2">
      <c r="A81" s="239"/>
      <c r="B81" s="239"/>
      <c r="C81" s="239"/>
      <c r="D81" s="239"/>
      <c r="E81" s="239"/>
      <c r="F81" s="239"/>
      <c r="G81" s="904" t="s">
        <v>253</v>
      </c>
      <c r="H81" s="1204"/>
      <c r="I81" s="905"/>
      <c r="J81" s="522"/>
      <c r="K81" s="558"/>
      <c r="L81" s="239"/>
      <c r="M81" s="239"/>
    </row>
    <row r="82" spans="1:13" x14ac:dyDescent="0.2">
      <c r="A82" s="239"/>
      <c r="B82" s="239"/>
      <c r="C82" s="239"/>
      <c r="D82" s="239"/>
      <c r="E82" s="239"/>
      <c r="F82" s="239"/>
      <c r="G82" s="906" t="s">
        <v>255</v>
      </c>
      <c r="H82" s="1208"/>
      <c r="I82" s="907"/>
      <c r="J82" s="523" t="str">
        <f>IF(BG!D2&gt;BG!E2," ",IF(C58&gt;=C51," ",IF(D22=0," ",J78*45%)))</f>
        <v xml:space="preserve"> </v>
      </c>
      <c r="K82" s="558" t="str">
        <f>IF(C58&gt;=C51," ",IF(D22=0," ",K78*45%))</f>
        <v xml:space="preserve"> </v>
      </c>
      <c r="L82" s="239"/>
      <c r="M82" s="239"/>
    </row>
    <row r="83" spans="1:13" x14ac:dyDescent="0.2">
      <c r="A83" s="239"/>
      <c r="B83" s="239"/>
      <c r="C83" s="239"/>
      <c r="D83" s="239"/>
      <c r="E83" s="239"/>
      <c r="F83" s="239"/>
      <c r="G83" s="239"/>
      <c r="H83" s="239"/>
      <c r="I83" s="239"/>
      <c r="J83" s="239"/>
      <c r="K83" s="560"/>
      <c r="L83" s="239"/>
      <c r="M83" s="239"/>
    </row>
    <row r="84" spans="1:13" x14ac:dyDescent="0.2">
      <c r="A84" s="239"/>
      <c r="B84" s="239"/>
      <c r="C84" s="239"/>
      <c r="D84" s="239"/>
      <c r="E84" s="239"/>
      <c r="F84" s="239"/>
      <c r="G84" s="873" t="s">
        <v>411</v>
      </c>
      <c r="H84" s="1196"/>
      <c r="I84" s="874"/>
      <c r="J84" s="287" t="str">
        <f>IF(BG!D2&gt;BG!E2," ",IF(C58&gt;=C51," ",IF(D22=0," ",ROUND((J72-J76-J80),0))))</f>
        <v xml:space="preserve"> </v>
      </c>
      <c r="K84" s="558" t="str">
        <f>IF(C58&gt;=C51," ",IF(D22=0," ",IF(G85="Kinderzuschlag ab Folgemonat:",0,ROUND((K72-K76-K82),0))))</f>
        <v xml:space="preserve"> </v>
      </c>
      <c r="L84" s="239"/>
      <c r="M84" s="239"/>
    </row>
    <row r="85" spans="1:13" x14ac:dyDescent="0.2">
      <c r="A85" s="240"/>
      <c r="B85" s="240"/>
      <c r="C85" s="240"/>
      <c r="D85" s="240"/>
      <c r="E85" s="240"/>
      <c r="F85" s="240"/>
      <c r="G85" s="810" t="str">
        <f>IF(D23=D22," ",IF(I21&gt;0,"Kinderzuschlag ab Folgemonat:"," "))</f>
        <v xml:space="preserve"> </v>
      </c>
      <c r="H85" s="810"/>
      <c r="I85" s="810"/>
      <c r="J85" s="287" t="str">
        <f>IF(D23=D22," ",IF(C58&gt;=C51," ",IF(D22=0," ",IF(D23=0," ",ROUND((J73-J76-J80),0)))))</f>
        <v xml:space="preserve"> </v>
      </c>
      <c r="K85" s="558" t="str">
        <f>IF(D23=D22," ",IF(C58&gt;=C51," ",IF(D22=0," ",ROUND((K73-K76-K82),0))))</f>
        <v xml:space="preserve"> </v>
      </c>
      <c r="L85" s="239"/>
      <c r="M85" s="239"/>
    </row>
    <row r="86" spans="1:13" x14ac:dyDescent="0.2">
      <c r="A86" s="239"/>
      <c r="B86" s="239"/>
      <c r="C86" s="239"/>
      <c r="D86" s="239"/>
      <c r="E86" s="239"/>
      <c r="F86" s="239"/>
      <c r="G86" s="810" t="s">
        <v>412</v>
      </c>
      <c r="H86" s="810"/>
      <c r="I86" s="810"/>
      <c r="J86" s="287" t="str">
        <f>IF(BG!D2&gt;BG!E2," ",IF(C58&gt;=C51," ",IF(D22=0," ",IF(J73&gt;0,ROUND((J73-J76-J82),0),ROUND((J72-J76-J82),0)))))</f>
        <v xml:space="preserve"> </v>
      </c>
      <c r="K86" s="84"/>
      <c r="L86" s="239"/>
      <c r="M86" s="239"/>
    </row>
    <row r="87" spans="1:13" x14ac:dyDescent="0.2">
      <c r="A87" s="239"/>
      <c r="B87" s="239"/>
      <c r="C87" s="239"/>
      <c r="D87" s="239"/>
      <c r="E87" s="239"/>
      <c r="F87" s="239"/>
      <c r="G87" s="239"/>
      <c r="H87" s="239"/>
      <c r="I87" s="239"/>
      <c r="J87" s="239"/>
      <c r="K87" s="239"/>
      <c r="L87" s="239"/>
      <c r="M87" s="239"/>
    </row>
    <row r="88" spans="1:13" x14ac:dyDescent="0.2">
      <c r="A88" s="239"/>
      <c r="B88" s="239"/>
      <c r="C88" s="239"/>
      <c r="D88" s="239"/>
      <c r="E88" s="239"/>
      <c r="F88" s="239"/>
      <c r="G88" s="239"/>
      <c r="H88" s="239"/>
      <c r="I88" s="239"/>
      <c r="J88" s="239"/>
      <c r="K88" s="239"/>
      <c r="L88" s="239"/>
      <c r="M88" s="239"/>
    </row>
    <row r="89" spans="1:13" ht="15" x14ac:dyDescent="0.25">
      <c r="A89" s="249" t="s">
        <v>261</v>
      </c>
      <c r="B89" s="239"/>
      <c r="C89" s="239"/>
      <c r="D89" s="239"/>
      <c r="E89" s="239"/>
      <c r="F89" s="239"/>
      <c r="G89" s="239"/>
      <c r="H89" s="239"/>
      <c r="I89" s="239"/>
      <c r="J89" s="239"/>
      <c r="K89" s="239"/>
      <c r="L89" s="239"/>
      <c r="M89" s="239"/>
    </row>
    <row r="90" spans="1:13" x14ac:dyDescent="0.2">
      <c r="A90" s="239"/>
      <c r="B90" s="239"/>
      <c r="C90" s="239"/>
      <c r="D90" s="239"/>
      <c r="E90" s="239"/>
      <c r="F90" s="239"/>
      <c r="G90" s="239"/>
      <c r="H90" s="239"/>
      <c r="I90" s="239"/>
      <c r="J90" s="239"/>
      <c r="K90" s="239"/>
      <c r="L90" s="239"/>
      <c r="M90" s="239"/>
    </row>
    <row r="91" spans="1:13" x14ac:dyDescent="0.2">
      <c r="A91" s="810" t="s">
        <v>256</v>
      </c>
      <c r="B91" s="810"/>
      <c r="C91" s="810"/>
      <c r="D91" s="810"/>
      <c r="E91" s="287" t="str">
        <f>IF(BG!D2&gt;BG!E2," ",IF(C58&gt;=C51," ",IF(D22=0," ",Bedarfe!H98)))</f>
        <v xml:space="preserve"> </v>
      </c>
      <c r="F91" s="239"/>
      <c r="G91" s="239"/>
      <c r="H91" s="239"/>
      <c r="I91" s="239"/>
      <c r="J91" s="239"/>
      <c r="K91" s="239"/>
      <c r="L91" s="239"/>
      <c r="M91" s="239"/>
    </row>
    <row r="92" spans="1:13" ht="15" x14ac:dyDescent="0.25">
      <c r="A92" s="915" t="s">
        <v>260</v>
      </c>
      <c r="B92" s="915"/>
      <c r="C92" s="915"/>
      <c r="D92" s="915"/>
      <c r="E92" s="437" t="str">
        <f>IF(BG!D2&gt;BG!E2," ",J84)</f>
        <v xml:space="preserve"> </v>
      </c>
      <c r="F92" s="239"/>
      <c r="G92" s="1211" t="str">
        <f>IF(BG!D2=ISBLANK(0),"Es wurde kein Antragsmonat angegeben.",IF(BG!D2&gt;BG!E2,"Bitte den Reiter Zur Anspruchsprüfung ab Januar 2020 auswählen.",IF(MEG!F83&lt;MEG!F85,"Die Mindesteinkommensgrenze wird nicht erreicht!",IF(C58&gt;=C51," ",IF(D22=0," ",IF(E98=0,"Der offene Restbedarf kann gedeckt werden. Es besteht Anspruch auf Kinderzuschlag.",IF(E98&lt;=SUM(Bedarfe!C14:'Bedarfe'!J14),"Es besteht Anspruch auf Kinderzuschlag, wenn auf Leistungen nach dem SGB II bzw. SGB XII verzichtet wird.",IF('Berechnung KiZ'!E98&gt;SUM(Bedarfe!C14:'Bedarfe'!J14),"Der offene Restbedarf kann nicht gedeckt werden. Es besteht kein Anspruch auf Kinderzuschlag."))))))))</f>
        <v>Es wurde kein Antragsmonat angegeben.</v>
      </c>
      <c r="H92" s="1211"/>
      <c r="I92" s="1211"/>
      <c r="J92" s="1211"/>
      <c r="K92" s="239"/>
      <c r="L92" s="239"/>
      <c r="M92" s="239"/>
    </row>
    <row r="93" spans="1:13" x14ac:dyDescent="0.2">
      <c r="A93" s="239"/>
      <c r="B93" s="239"/>
      <c r="C93" s="239"/>
      <c r="D93" s="239"/>
      <c r="E93" s="239"/>
      <c r="F93" s="239"/>
      <c r="G93" s="1211"/>
      <c r="H93" s="1211"/>
      <c r="I93" s="1211"/>
      <c r="J93" s="1211"/>
      <c r="K93" s="239"/>
      <c r="L93" s="239"/>
      <c r="M93" s="239"/>
    </row>
    <row r="94" spans="1:13" x14ac:dyDescent="0.2">
      <c r="A94" s="810" t="s">
        <v>257</v>
      </c>
      <c r="B94" s="810"/>
      <c r="C94" s="810"/>
      <c r="D94" s="810"/>
      <c r="E94" s="287" t="str">
        <f>IF(BG!D2&gt;BG!E2," ",IF(C58&gt;=C51," ",IF(D22=0," ",IF((E91-E92)&lt;0,0,E91-E92))))</f>
        <v xml:space="preserve"> </v>
      </c>
      <c r="F94" s="239"/>
      <c r="G94" s="1211"/>
      <c r="H94" s="1211"/>
      <c r="I94" s="1211"/>
      <c r="J94" s="1211"/>
      <c r="K94" s="239"/>
      <c r="L94" s="239"/>
      <c r="M94" s="239"/>
    </row>
    <row r="95" spans="1:13" x14ac:dyDescent="0.2">
      <c r="A95" s="239"/>
      <c r="B95" s="239"/>
      <c r="C95" s="239"/>
      <c r="D95" s="239"/>
      <c r="E95" s="239"/>
      <c r="F95" s="239"/>
      <c r="G95" s="1211"/>
      <c r="H95" s="1211"/>
      <c r="I95" s="1211"/>
      <c r="J95" s="1211"/>
      <c r="K95" s="239"/>
      <c r="L95" s="239"/>
      <c r="M95" s="239"/>
    </row>
    <row r="96" spans="1:13" x14ac:dyDescent="0.2">
      <c r="A96" s="810" t="s">
        <v>258</v>
      </c>
      <c r="B96" s="810"/>
      <c r="C96" s="810"/>
      <c r="D96" s="810"/>
      <c r="E96" s="436"/>
      <c r="F96" s="239"/>
      <c r="G96" s="1211"/>
      <c r="H96" s="1211"/>
      <c r="I96" s="1211"/>
      <c r="J96" s="1211"/>
      <c r="K96" s="239"/>
      <c r="L96" s="239"/>
      <c r="M96" s="239"/>
    </row>
    <row r="97" spans="1:13" x14ac:dyDescent="0.2">
      <c r="A97" s="239"/>
      <c r="B97" s="239"/>
      <c r="C97" s="239"/>
      <c r="D97" s="239"/>
      <c r="E97" s="239"/>
      <c r="F97" s="239"/>
      <c r="G97" s="1211"/>
      <c r="H97" s="1211"/>
      <c r="I97" s="1211"/>
      <c r="J97" s="1211"/>
      <c r="K97" s="239"/>
      <c r="L97" s="239"/>
      <c r="M97" s="239"/>
    </row>
    <row r="98" spans="1:13" x14ac:dyDescent="0.2">
      <c r="A98" s="810" t="s">
        <v>259</v>
      </c>
      <c r="B98" s="810"/>
      <c r="C98" s="810"/>
      <c r="D98" s="810"/>
      <c r="E98" s="287" t="str">
        <f>IF(BG!D2&gt;BG!E2," ",IF(C58&gt;=C51," ",IF(D22=0," ",IF((E94-E96)&lt;0,0,E94-E96))))</f>
        <v xml:space="preserve"> </v>
      </c>
      <c r="F98" s="239"/>
      <c r="G98" s="239"/>
      <c r="H98" s="239"/>
      <c r="I98" s="239"/>
      <c r="J98" s="239"/>
      <c r="K98" s="239"/>
      <c r="L98" s="239"/>
      <c r="M98" s="239"/>
    </row>
    <row r="99" spans="1:13" x14ac:dyDescent="0.2">
      <c r="A99" s="239"/>
      <c r="B99" s="239"/>
      <c r="C99" s="239"/>
      <c r="D99" s="239"/>
      <c r="E99" s="239"/>
      <c r="F99" s="239"/>
      <c r="G99" s="239"/>
      <c r="H99" s="239"/>
      <c r="I99" s="239"/>
      <c r="J99" s="239"/>
      <c r="K99" s="239"/>
      <c r="L99" s="239"/>
      <c r="M99" s="239"/>
    </row>
    <row r="100" spans="1:13" x14ac:dyDescent="0.2">
      <c r="A100" s="239"/>
      <c r="B100" s="239"/>
      <c r="C100" s="239"/>
      <c r="D100" s="239"/>
      <c r="E100" s="239"/>
      <c r="F100" s="239"/>
      <c r="G100" s="239"/>
      <c r="H100" s="239"/>
      <c r="I100" s="239"/>
      <c r="J100" s="239"/>
      <c r="K100" s="239"/>
      <c r="L100" s="239"/>
      <c r="M100" s="239"/>
    </row>
    <row r="101" spans="1:13" x14ac:dyDescent="0.2">
      <c r="A101" s="239"/>
      <c r="B101" s="239"/>
      <c r="C101" s="239"/>
      <c r="D101" s="239"/>
      <c r="E101" s="239"/>
      <c r="F101" s="239"/>
      <c r="G101" s="239"/>
      <c r="H101" s="239"/>
      <c r="I101" s="239"/>
      <c r="J101" s="239"/>
      <c r="K101" s="239"/>
      <c r="L101" s="239"/>
      <c r="M101" s="239"/>
    </row>
    <row r="102" spans="1:13" x14ac:dyDescent="0.2">
      <c r="A102" s="239"/>
      <c r="B102" s="239"/>
      <c r="C102" s="239"/>
      <c r="D102" s="239"/>
      <c r="E102" s="239"/>
      <c r="F102" s="239"/>
      <c r="G102" s="239"/>
      <c r="H102" s="239"/>
      <c r="I102" s="239"/>
      <c r="J102" s="239"/>
      <c r="K102" s="239"/>
      <c r="L102" s="239"/>
      <c r="M102" s="239"/>
    </row>
    <row r="103" spans="1:13" ht="15" x14ac:dyDescent="0.25">
      <c r="A103" s="349" t="s">
        <v>441</v>
      </c>
      <c r="B103" s="239"/>
      <c r="C103" s="239"/>
      <c r="D103" s="239"/>
      <c r="E103" s="239"/>
      <c r="F103" s="239"/>
      <c r="G103" s="239"/>
      <c r="H103" s="239"/>
      <c r="I103" s="239"/>
      <c r="J103" s="239"/>
      <c r="K103" s="239"/>
      <c r="L103" s="239"/>
      <c r="M103" s="239"/>
    </row>
    <row r="104" spans="1:13" x14ac:dyDescent="0.2">
      <c r="A104" s="239"/>
      <c r="B104" s="239"/>
      <c r="C104" s="239"/>
      <c r="D104" s="239"/>
      <c r="E104" s="239"/>
      <c r="F104" s="239"/>
      <c r="G104" s="239"/>
      <c r="H104" s="239"/>
      <c r="I104" s="239"/>
      <c r="J104" s="239"/>
      <c r="K104" s="239"/>
      <c r="L104" s="239"/>
      <c r="M104" s="239"/>
    </row>
    <row r="105" spans="1:13" x14ac:dyDescent="0.2">
      <c r="A105" s="239" t="s">
        <v>442</v>
      </c>
      <c r="B105" s="239"/>
      <c r="C105" s="239"/>
      <c r="D105" s="239"/>
      <c r="E105" s="239"/>
      <c r="F105" s="239"/>
      <c r="G105" s="239"/>
      <c r="H105" s="239"/>
      <c r="I105" s="239"/>
      <c r="J105" s="239"/>
      <c r="K105" s="239"/>
      <c r="L105" s="239"/>
      <c r="M105" s="239"/>
    </row>
    <row r="106" spans="1:13" x14ac:dyDescent="0.2">
      <c r="A106" s="239" t="s">
        <v>443</v>
      </c>
      <c r="B106" s="239"/>
      <c r="C106" s="239"/>
      <c r="D106" s="239"/>
      <c r="E106" s="239"/>
      <c r="F106" s="239"/>
      <c r="G106" s="239"/>
      <c r="H106" s="239"/>
      <c r="I106" s="239"/>
      <c r="J106" s="239"/>
      <c r="K106" s="239"/>
      <c r="L106" s="239"/>
      <c r="M106" s="239"/>
    </row>
    <row r="107" spans="1:13" x14ac:dyDescent="0.2">
      <c r="A107" s="239"/>
      <c r="B107" s="239"/>
      <c r="C107" s="239"/>
      <c r="D107" s="239"/>
      <c r="E107" s="239"/>
      <c r="F107" s="239"/>
      <c r="G107" s="239"/>
      <c r="H107" s="239"/>
      <c r="I107" s="239"/>
      <c r="J107" s="239"/>
      <c r="K107" s="239"/>
      <c r="L107" s="239"/>
      <c r="M107" s="239"/>
    </row>
    <row r="108" spans="1:13" x14ac:dyDescent="0.2">
      <c r="A108" s="358"/>
      <c r="B108" s="358"/>
      <c r="C108" s="358"/>
      <c r="D108" s="358"/>
      <c r="E108" s="358"/>
      <c r="F108" s="358"/>
      <c r="G108" s="358"/>
      <c r="H108" s="358"/>
      <c r="I108" s="358"/>
      <c r="J108" s="239"/>
      <c r="K108" s="239"/>
      <c r="L108" s="239"/>
      <c r="M108" s="239"/>
    </row>
    <row r="109" spans="1:13" x14ac:dyDescent="0.2">
      <c r="A109" s="178"/>
      <c r="B109" s="178"/>
      <c r="C109" s="178"/>
      <c r="D109" s="178"/>
      <c r="E109" s="178"/>
      <c r="F109" s="178"/>
      <c r="G109" s="178"/>
      <c r="H109" s="178"/>
      <c r="I109" s="178"/>
      <c r="J109" s="178"/>
      <c r="K109" s="178"/>
      <c r="L109" s="178"/>
      <c r="M109" s="178"/>
    </row>
    <row r="110" spans="1:13" x14ac:dyDescent="0.2">
      <c r="A110" s="178"/>
      <c r="B110" s="178"/>
      <c r="C110" s="178"/>
      <c r="D110" s="178"/>
      <c r="E110" s="178"/>
      <c r="F110" s="178"/>
      <c r="G110" s="178"/>
      <c r="H110" s="178"/>
      <c r="I110" s="178"/>
      <c r="J110" s="178"/>
      <c r="K110" s="178"/>
      <c r="L110" s="178"/>
      <c r="M110" s="178"/>
    </row>
    <row r="111" spans="1:13" x14ac:dyDescent="0.2">
      <c r="A111" s="178"/>
      <c r="B111" s="178"/>
      <c r="C111" s="178"/>
      <c r="D111" s="178"/>
      <c r="E111" s="178"/>
      <c r="F111" s="178"/>
      <c r="G111" s="178"/>
      <c r="H111" s="178"/>
      <c r="I111" s="178"/>
      <c r="J111" s="178"/>
      <c r="K111" s="178"/>
      <c r="L111" s="178"/>
      <c r="M111" s="178"/>
    </row>
    <row r="112" spans="1:13" x14ac:dyDescent="0.2">
      <c r="A112" s="178"/>
      <c r="B112" s="178"/>
      <c r="C112" s="178"/>
      <c r="D112" s="178"/>
      <c r="E112" s="178"/>
      <c r="F112" s="178"/>
      <c r="G112" s="178"/>
      <c r="H112" s="178"/>
      <c r="I112" s="178"/>
      <c r="J112" s="178"/>
      <c r="K112" s="178"/>
      <c r="L112" s="178"/>
      <c r="M112" s="178"/>
    </row>
    <row r="113" spans="1:13" x14ac:dyDescent="0.2">
      <c r="A113" s="178"/>
      <c r="B113" s="178"/>
      <c r="C113" s="178"/>
      <c r="D113" s="178"/>
      <c r="E113" s="178"/>
      <c r="F113" s="178"/>
      <c r="G113" s="178"/>
      <c r="H113" s="178"/>
      <c r="I113" s="178"/>
      <c r="J113" s="178"/>
      <c r="K113" s="178"/>
      <c r="L113" s="178"/>
      <c r="M113" s="178"/>
    </row>
  </sheetData>
  <sheetProtection algorithmName="SHA-512" hashValue="QAvo9epLHOYhrUaazAn5cH0xC1SzvnYk0LKSxNgfdlBnRX9dsdjutaKrifk/Ft9x2RGw6laYTq5NSKx4FRfLrg==" saltValue="631wnH4AptkDsluF90Guhw==" spinCount="100000" sheet="1" formatCells="0" formatColumns="0" formatRows="0" insertColumns="0" insertRows="0" insertHyperlinks="0" deleteColumns="0" deleteRows="0" sort="0" pivotTables="0"/>
  <mergeCells count="56">
    <mergeCell ref="A91:D91"/>
    <mergeCell ref="A92:D92"/>
    <mergeCell ref="A94:D94"/>
    <mergeCell ref="A96:D96"/>
    <mergeCell ref="A42:B42"/>
    <mergeCell ref="A74:C74"/>
    <mergeCell ref="A58:B58"/>
    <mergeCell ref="A61:D65"/>
    <mergeCell ref="A48:B48"/>
    <mergeCell ref="A49:B49"/>
    <mergeCell ref="A56:B56"/>
    <mergeCell ref="A98:D98"/>
    <mergeCell ref="G72:I72"/>
    <mergeCell ref="G74:I74"/>
    <mergeCell ref="G75:I75"/>
    <mergeCell ref="G76:I76"/>
    <mergeCell ref="G79:I79"/>
    <mergeCell ref="G80:I80"/>
    <mergeCell ref="G81:I81"/>
    <mergeCell ref="G82:I82"/>
    <mergeCell ref="G84:I84"/>
    <mergeCell ref="A72:C72"/>
    <mergeCell ref="A73:C73"/>
    <mergeCell ref="G78:I78"/>
    <mergeCell ref="A76:C76"/>
    <mergeCell ref="A77:C77"/>
    <mergeCell ref="G92:J97"/>
    <mergeCell ref="A9:C9"/>
    <mergeCell ref="A10:C10"/>
    <mergeCell ref="A39:B39"/>
    <mergeCell ref="A40:B40"/>
    <mergeCell ref="A41:B41"/>
    <mergeCell ref="A14:C14"/>
    <mergeCell ref="A15:C15"/>
    <mergeCell ref="A16:C16"/>
    <mergeCell ref="A17:C17"/>
    <mergeCell ref="A23:C23"/>
    <mergeCell ref="A11:C11"/>
    <mergeCell ref="A21:C21"/>
    <mergeCell ref="A19:C19"/>
    <mergeCell ref="A4:C4"/>
    <mergeCell ref="A5:C5"/>
    <mergeCell ref="A6:C6"/>
    <mergeCell ref="A7:C7"/>
    <mergeCell ref="A8:C8"/>
    <mergeCell ref="G85:I85"/>
    <mergeCell ref="A22:C22"/>
    <mergeCell ref="A18:C18"/>
    <mergeCell ref="A20:C20"/>
    <mergeCell ref="G86:I86"/>
    <mergeCell ref="G77:I77"/>
    <mergeCell ref="A75:C75"/>
    <mergeCell ref="A57:B57"/>
    <mergeCell ref="A50:B50"/>
    <mergeCell ref="A51:B51"/>
    <mergeCell ref="G73:I73"/>
  </mergeCells>
  <conditionalFormatting sqref="K84">
    <cfRule type="cellIs" dxfId="15" priority="2" operator="equal">
      <formula>0</formula>
    </cfRule>
  </conditionalFormatting>
  <conditionalFormatting sqref="D23">
    <cfRule type="cellIs" dxfId="14" priority="1" operator="equal">
      <formula>0</formula>
    </cfRule>
  </conditionalFormatting>
  <pageMargins left="0.70866141732283472" right="0.70866141732283472" top="0.78740157480314965" bottom="0.78740157480314965" header="0.31496062992125984" footer="0.31496062992125984"/>
  <pageSetup paperSize="9" scale="80" orientation="landscape" r:id="rId1"/>
  <headerFooter>
    <oddHeader>&amp;L&amp;"Arial,Fett"&amp;U9. Berechnung des Kinderzuschlags:&amp;R&amp;D</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6564" r:id="rId4" name="Button 4">
              <controlPr defaultSize="0" print="0" autoFill="0" autoPict="0" macro="[0]!Tabelle14.eAkte">
                <anchor moveWithCells="1" sizeWithCells="1">
                  <from>
                    <xdr:col>5</xdr:col>
                    <xdr:colOff>457200</xdr:colOff>
                    <xdr:row>109</xdr:row>
                    <xdr:rowOff>104775</xdr:rowOff>
                  </from>
                  <to>
                    <xdr:col>8</xdr:col>
                    <xdr:colOff>361950</xdr:colOff>
                    <xdr:row>112</xdr:row>
                    <xdr:rowOff>133350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9"/>
  <dimension ref="A1:M82"/>
  <sheetViews>
    <sheetView showGridLines="0" showRuler="0" zoomScaleNormal="100" workbookViewId="0">
      <selection activeCell="E72" sqref="E72"/>
    </sheetView>
  </sheetViews>
  <sheetFormatPr baseColWidth="10" defaultRowHeight="14.25" x14ac:dyDescent="0.2"/>
  <cols>
    <col min="1" max="16384" width="11" style="659"/>
  </cols>
  <sheetData>
    <row r="1" spans="1:13" ht="15" x14ac:dyDescent="0.25">
      <c r="A1" s="249" t="s">
        <v>209</v>
      </c>
    </row>
    <row r="3" spans="1:13" x14ac:dyDescent="0.2">
      <c r="D3" s="738" t="s">
        <v>13</v>
      </c>
      <c r="E3" s="738" t="s">
        <v>14</v>
      </c>
      <c r="F3" s="738" t="s">
        <v>15</v>
      </c>
      <c r="G3" s="738" t="s">
        <v>16</v>
      </c>
      <c r="H3" s="738" t="s">
        <v>17</v>
      </c>
      <c r="I3" s="738" t="s">
        <v>18</v>
      </c>
      <c r="J3" s="740" t="s">
        <v>340</v>
      </c>
      <c r="K3" s="738" t="s">
        <v>341</v>
      </c>
      <c r="L3" s="738" t="s">
        <v>342</v>
      </c>
      <c r="M3" s="738" t="s">
        <v>343</v>
      </c>
    </row>
    <row r="4" spans="1:13" x14ac:dyDescent="0.2">
      <c r="A4" s="810" t="s">
        <v>210</v>
      </c>
      <c r="B4" s="810"/>
      <c r="C4" s="810"/>
      <c r="D4" s="516" t="str">
        <f>IF(YEAR(BG!D2)=2019," ",IF(BG!C21=ISBLANK(0)," ",IF(Bedarfe!E28="nein",0,Datenblatt!O22)))</f>
        <v xml:space="preserve"> </v>
      </c>
      <c r="E4" s="516" t="str">
        <f>IF(YEAR(BG!D2)=2019," ",IF(BG!C22=ISBLANK(0)," ",IF(Bedarfe!F28="nein",0,Datenblatt!O22)))</f>
        <v xml:space="preserve"> </v>
      </c>
      <c r="F4" s="516" t="str">
        <f>IF(YEAR(BG!D2)=2019," ",IF(BG!C23=ISBLANK(0)," ",IF(Bedarfe!G28="nein",0,Datenblatt!O22)))</f>
        <v xml:space="preserve"> </v>
      </c>
      <c r="G4" s="516" t="str">
        <f>IF(YEAR(BG!D2)=2019," ",IF(BG!C24=ISBLANK(0)," ",IF(Bedarfe!H28="nein",0,Datenblatt!O22)))</f>
        <v xml:space="preserve"> </v>
      </c>
      <c r="H4" s="516" t="str">
        <f>IF(YEAR(BG!D2)=2019," ",IF(BG!C25=ISBLANK(0)," ",IF(Bedarfe!I28="nein",0,Datenblatt!O22)))</f>
        <v xml:space="preserve"> </v>
      </c>
      <c r="I4" s="516" t="str">
        <f>IF(YEAR(BG!D2)=2019," ",IF(BG!C26=ISBLANK(0)," ",IF(Bedarfe!J28="nein",0,Datenblatt!O22)))</f>
        <v xml:space="preserve"> </v>
      </c>
      <c r="J4" s="516" t="str">
        <f>IF(YEAR(BG!D2)=2019," ",IF(BG!C27=ISBLANK(0)," ",IF(Bedarfe!K28="nein",0,Datenblatt!O22)))</f>
        <v xml:space="preserve"> </v>
      </c>
      <c r="K4" s="516" t="str">
        <f>IF(YEAR(BG!D2)=2019," ",IF(BG!C28=ISBLANK(0)," ",IF(Bedarfe!L28="nein",0,Datenblatt!O22)))</f>
        <v xml:space="preserve"> </v>
      </c>
      <c r="L4" s="516" t="str">
        <f>IF(YEAR(BG!D2)=2019," ",IF(BG!C29=ISBLANK(0)," ",IF(Bedarfe!M28="nein",0,Datenblatt!O22)))</f>
        <v xml:space="preserve"> </v>
      </c>
      <c r="M4" s="516" t="str">
        <f>IF(YEAR(BG!D2)=2019," ",IF(BG!C30=ISBLANK(0)," ",IF(Bedarfe!C70="nein",0,Datenblatt!O22)))</f>
        <v xml:space="preserve"> </v>
      </c>
    </row>
    <row r="5" spans="1:13" x14ac:dyDescent="0.2">
      <c r="A5" s="810" t="s">
        <v>211</v>
      </c>
      <c r="B5" s="810"/>
      <c r="C5" s="810"/>
      <c r="D5" s="287" t="str">
        <f>IF(BG!C21=ISBLANK(0)," ",'K1'!H121)</f>
        <v xml:space="preserve"> </v>
      </c>
      <c r="E5" s="287" t="str">
        <f>IF(BG!C22=ISBLANK(0)," ",'K2'!H121)</f>
        <v xml:space="preserve"> </v>
      </c>
      <c r="F5" s="287" t="str">
        <f>IF(BG!C23=ISBLANK(0)," ",'K3'!H121)</f>
        <v xml:space="preserve"> </v>
      </c>
      <c r="G5" s="287" t="str">
        <f>IF(BG!C24=ISBLANK(0)," ",'K4'!H121)</f>
        <v xml:space="preserve"> </v>
      </c>
      <c r="H5" s="287" t="str">
        <f>IF(BG!C25=ISBLANK(0)," ",'K5'!H121)</f>
        <v xml:space="preserve"> </v>
      </c>
      <c r="I5" s="287" t="str">
        <f>IF(BG!C26=ISBLANK(0)," ",'K6'!H121)</f>
        <v xml:space="preserve"> </v>
      </c>
      <c r="J5" s="287" t="str">
        <f>IF(BG!C27=ISBLANK(0)," ",'K7'!H121)</f>
        <v xml:space="preserve"> </v>
      </c>
      <c r="K5" s="287" t="str">
        <f>IF(BG!C28=ISBLANK(0)," ",'K8'!H121)</f>
        <v xml:space="preserve"> </v>
      </c>
      <c r="L5" s="287" t="str">
        <f>IF(BG!C29=ISBLANK(0)," ",'K9'!H121)</f>
        <v xml:space="preserve"> </v>
      </c>
      <c r="M5" s="287" t="str">
        <f>IF(BG!C30=ISBLANK(0)," ",'K10'!H121)</f>
        <v xml:space="preserve"> </v>
      </c>
    </row>
    <row r="6" spans="1:13" x14ac:dyDescent="0.2">
      <c r="A6" s="810" t="s">
        <v>136</v>
      </c>
      <c r="B6" s="810"/>
      <c r="C6" s="810"/>
      <c r="D6" s="287" t="str">
        <f>IF(BG!C21=ISBLANK(0)," ",Vermögen!G17)</f>
        <v xml:space="preserve"> </v>
      </c>
      <c r="E6" s="287" t="str">
        <f>IF(BG!C22=ISBLANK(0)," ",Vermögen!H17)</f>
        <v xml:space="preserve"> </v>
      </c>
      <c r="F6" s="287" t="str">
        <f>IF(BG!C23=ISBLANK(0)," ",Vermögen!I17)</f>
        <v xml:space="preserve"> </v>
      </c>
      <c r="G6" s="287" t="str">
        <f>IF(BG!C24=ISBLANK(0)," ",Vermögen!J17)</f>
        <v xml:space="preserve"> </v>
      </c>
      <c r="H6" s="287" t="str">
        <f>IF(BG!C25=ISBLANK(0)," ",Vermögen!K17)</f>
        <v xml:space="preserve"> </v>
      </c>
      <c r="I6" s="287" t="str">
        <f>IF(BG!C26=ISBLANK(0)," ",Vermögen!L17)</f>
        <v xml:space="preserve"> </v>
      </c>
      <c r="J6" s="287" t="str">
        <f>IF(BG!C27=ISBLANK(0)," ",Vermögen!M17)</f>
        <v xml:space="preserve"> </v>
      </c>
      <c r="K6" s="287" t="str">
        <f>IF(BG!C28=ISBLANK(0)," ",Vermögen!E34)</f>
        <v xml:space="preserve"> </v>
      </c>
      <c r="L6" s="287" t="str">
        <f>IF(BG!C29=ISBLANK(0)," ",Vermögen!F34)</f>
        <v xml:space="preserve"> </v>
      </c>
      <c r="M6" s="287" t="str">
        <f>IF(BG!C30=ISBLANK(0)," ",Vermögen!G34)</f>
        <v xml:space="preserve"> </v>
      </c>
    </row>
    <row r="7" spans="1:13" x14ac:dyDescent="0.2">
      <c r="A7" s="810" t="s">
        <v>212</v>
      </c>
      <c r="B7" s="810"/>
      <c r="C7" s="810"/>
      <c r="D7" s="287" t="str">
        <f>IF(BG!C21=ISBLANK(0)," ",IF((D4-D5-D6)&lt;0,0,D4-D5-D6))</f>
        <v xml:space="preserve"> </v>
      </c>
      <c r="E7" s="287" t="str">
        <f>IF(BG!C22=ISBLANK(0)," ",IF((E4-E5-E6)&lt;0,0,E4-E5-E6))</f>
        <v xml:space="preserve"> </v>
      </c>
      <c r="F7" s="287" t="str">
        <f>IF(BG!C23=ISBLANK(0)," ",IF((F4-F5-F6)&lt;0,0,F4-F5-F6))</f>
        <v xml:space="preserve"> </v>
      </c>
      <c r="G7" s="287" t="str">
        <f>IF(BG!C24=ISBLANK(0)," ",IF((G4-G5-G6)&lt;0,0,G4-G5-G6))</f>
        <v xml:space="preserve"> </v>
      </c>
      <c r="H7" s="287" t="str">
        <f>IF(BG!C25=ISBLANK(0)," ",IF((H4-H5-H6)&lt;0,0,H4-H5-H6))</f>
        <v xml:space="preserve"> </v>
      </c>
      <c r="I7" s="287" t="str">
        <f>IF(BG!C26=ISBLANK(0)," ",IF((I4-I5-I6)&lt;0,0,I4-I5-I6))</f>
        <v xml:space="preserve"> </v>
      </c>
      <c r="J7" s="287" t="str">
        <f>IF(BG!C27=ISBLANK(0)," ",IF(J4-J5-J6&lt;0,0,J4-J5-J6))</f>
        <v xml:space="preserve"> </v>
      </c>
      <c r="K7" s="287" t="str">
        <f>IF(BG!C28=ISBLANK(0)," ",IF(K4-K5-K6&lt;0,0,K4-K5-K6))</f>
        <v xml:space="preserve"> </v>
      </c>
      <c r="L7" s="287" t="str">
        <f>IF(BG!C29=ISBLANK(0)," ",IF(L4-L5-L6&lt;0,0,L4-L5-L6))</f>
        <v xml:space="preserve"> </v>
      </c>
      <c r="M7" s="287" t="str">
        <f>IF(BG!C30=ISBLANK(0)," ",IF(M4-M5-M6&lt;0,0,M4-M5-M6))</f>
        <v xml:space="preserve"> </v>
      </c>
    </row>
    <row r="8" spans="1:13" x14ac:dyDescent="0.2">
      <c r="A8" s="810" t="s">
        <v>213</v>
      </c>
      <c r="B8" s="810"/>
      <c r="C8" s="810"/>
      <c r="D8" s="738" t="str">
        <f>IF(BG!$C$21=ISBLANK(0)," ",IF(AND(Bedarfe!E28="nein",Bedarfe!E22="nein"),"nein","ja"))</f>
        <v xml:space="preserve"> </v>
      </c>
      <c r="E8" s="738" t="str">
        <f>IF(BG!C22=ISBLANK(0)," ",IF(AND(Bedarfe!F28="nein",Bedarfe!F22="nein"),"nein","ja"))</f>
        <v xml:space="preserve"> </v>
      </c>
      <c r="F8" s="738" t="str">
        <f>IF(BG!C23=ISBLANK(0)," ",IF(AND(Bedarfe!G28="nein",Bedarfe!G22="nein"),"nein","ja"))</f>
        <v xml:space="preserve"> </v>
      </c>
      <c r="G8" s="738" t="str">
        <f>IF(BG!C24=ISBLANK(0)," ",IF(AND(Bedarfe!H28="nein",Bedarfe!H22="nein"),"nein","ja"))</f>
        <v xml:space="preserve"> </v>
      </c>
      <c r="H8" s="738" t="str">
        <f>IF(BG!C25=ISBLANK(0)," ",IF(AND(Bedarfe!I28="nein",Bedarfe!I22="nein"),"nein","ja"))</f>
        <v xml:space="preserve"> </v>
      </c>
      <c r="I8" s="738" t="str">
        <f>IF(BG!C26=ISBLANK(0)," ",IF(AND(Bedarfe!J28="nein",Bedarfe!J22="nein"),"nein","ja"))</f>
        <v xml:space="preserve"> </v>
      </c>
      <c r="J8" s="738" t="str">
        <f>IF(BG!C27=ISBLANK(0)," ",IF(AND(Bedarfe!K28="nein",Bedarfe!K22="nein"),"nein","ja"))</f>
        <v xml:space="preserve"> </v>
      </c>
      <c r="K8" s="738" t="str">
        <f>IF(BG!C28=ISBLANK(0)," ",IF(AND(Bedarfe!L28="nein",Bedarfe!L22="nein"),"nein","ja"))</f>
        <v xml:space="preserve"> </v>
      </c>
      <c r="L8" s="738" t="str">
        <f>IF(BG!C29=ISBLANK(0)," ",IF(AND(Bedarfe!M28="nein",Bedarfe!M22="nein"),"nein","ja"))</f>
        <v xml:space="preserve"> </v>
      </c>
      <c r="M8" s="738" t="str">
        <f>IF(BG!C30=ISBLANK(0)," ",IF(AND(Bedarfe!N28="nein",Bedarfe!N22="nein"),"nein","ja"))</f>
        <v xml:space="preserve"> </v>
      </c>
    </row>
    <row r="9" spans="1:13" x14ac:dyDescent="0.2">
      <c r="A9" s="810" t="s">
        <v>214</v>
      </c>
      <c r="B9" s="810"/>
      <c r="C9" s="810"/>
      <c r="D9" s="741" t="str">
        <f>IF(BG!$C$21=ISBLANK(0)," ",IF(OR(BG!$E$21=".",BG!$E$21="nein"),"kein KG ",IF(AND(BG!$E$21="ja",D8="ja"),D7," ")))</f>
        <v xml:space="preserve"> </v>
      </c>
      <c r="E9" s="741" t="str">
        <f>IF(BG!$C$22=ISBLANK(0)," ",IF(OR(BG!$E$22=".",BG!$E$22="nein"),"kein KG ",IF(AND(BG!$E$22="ja",E8="ja"),E7," ")))</f>
        <v xml:space="preserve"> </v>
      </c>
      <c r="F9" s="741" t="str">
        <f>IF(BG!$C$23=ISBLANK(0)," ",IF(OR(BG!$E$23=".",BG!$E$23="nein"),"kein KG ",IF(AND(BG!$E$23="ja",F8="ja"),F7," ")))</f>
        <v xml:space="preserve"> </v>
      </c>
      <c r="G9" s="741" t="str">
        <f>IF(BG!$C$24=ISBLANK(0)," ",IF(OR(BG!$E$24=".",BG!$E$24="nein"),"kein KG ",IF(AND(BG!$E$24="ja",G8="ja"),G7," ")))</f>
        <v xml:space="preserve"> </v>
      </c>
      <c r="H9" s="741" t="str">
        <f>IF(BG!$C$25=ISBLANK(0)," ",IF(OR(BG!$E$25=".",BG!$E$25="nein"),"kein KG ",IF(AND(BG!$E$25="ja",H8="ja"),H7," ")))</f>
        <v xml:space="preserve"> </v>
      </c>
      <c r="I9" s="741" t="str">
        <f>IF(BG!$C$26=ISBLANK(0)," ",IF(OR(BG!$E$26=".",BG!$E$26="nein"),"kein KG ",IF(AND(BG!$E$26="ja",I8="ja"),I7," ")))</f>
        <v xml:space="preserve"> </v>
      </c>
      <c r="J9" s="741" t="str">
        <f>IF(BG!$C$27=ISBLANK(0)," ",IF(OR(BG!$E$27=".",BG!$E$27="nein"),"kein KG ",IF(AND(BG!$E$27="ja",J8="ja"),J7," ")))</f>
        <v xml:space="preserve"> </v>
      </c>
      <c r="K9" s="741" t="str">
        <f>IF(BG!$C$28=ISBLANK(0)," ",IF(OR(BG!$E$28=".",BG!$E$28="nein"),"kein KG ",IF(AND(BG!$E$28="ja",K8="ja"),K7," ")))</f>
        <v xml:space="preserve"> </v>
      </c>
      <c r="L9" s="741" t="str">
        <f>IF(BG!$C$29=ISBLANK(0)," ",IF(OR(BG!$E$29=".",BG!$E$29="nein"),"kein KG ",IF(AND(BG!$E$29="ja",L8="ja"),L7," ")))</f>
        <v xml:space="preserve"> </v>
      </c>
      <c r="M9" s="741" t="str">
        <f>IF(BG!$C$30=ISBLANK(0)," ",IF(OR(BG!$E$30=".",BG!$E$30="nein"),"kein KG ",IF(AND(BG!$E$30="ja",M8="ja"),M7," ")))</f>
        <v xml:space="preserve"> </v>
      </c>
    </row>
    <row r="10" spans="1:13" x14ac:dyDescent="0.2">
      <c r="A10" s="810" t="str">
        <f>IF(I21&gt;0,"Kinderzuschlag ab Folgemonat"," ")</f>
        <v xml:space="preserve"> </v>
      </c>
      <c r="B10" s="810"/>
      <c r="C10" s="810"/>
      <c r="D10" s="287" t="str">
        <f>IF(D4=" "," ",IF(AND(D4=Datenblatt!O22,D6=0,I21&gt;0),D9,IF(AND(D8="ja",D6&gt;0,D7&gt;0),D4-D5," ")))</f>
        <v xml:space="preserve"> </v>
      </c>
      <c r="E10" s="287" t="str">
        <f>IF(E4=" "," ",IF(AND(E4=Datenblatt!O22,E6=0,I21&gt;0),E9,IF(AND(E8="ja",E6&gt;0,E7&gt;0),E4-E5," ")))</f>
        <v xml:space="preserve"> </v>
      </c>
      <c r="F10" s="287" t="str">
        <f>IF(F4=" "," ",IF(AND(F4=Datenblatt!O22,F6=0,I21&gt;0),F9,IF(AND(F8="ja",F6&gt;0,F7&gt;0),F4-F5," ")))</f>
        <v xml:space="preserve"> </v>
      </c>
      <c r="G10" s="287" t="str">
        <f>IF(G4=" "," ",IF(AND(G4=Datenblatt!O22,G6=0,I21&gt;0),G9,IF(AND(G8="ja",G6&gt;0,G7&gt;0),G4-G5," ")))</f>
        <v xml:space="preserve"> </v>
      </c>
      <c r="H10" s="287" t="str">
        <f>IF(H4=" "," ",IF(AND(H4=Datenblatt!O22,H6=0,I21&gt;0),H9,IF(AND(H8="ja",H6&gt;0,H7&gt;0),H4-H5," ")))</f>
        <v xml:space="preserve"> </v>
      </c>
      <c r="I10" s="287" t="str">
        <f>IF(I4=" "," ",IF(AND(I4=Datenblatt!O22,I6=0,I21&gt;0),I9,IF(AND(I8="ja",I6&gt;0,I7&gt;0),I4-I5," ")))</f>
        <v xml:space="preserve"> </v>
      </c>
      <c r="J10" s="287" t="str">
        <f>IF(J4=" "," ",IF(AND(J4=Datenblatt!O22,J6=0,I21&gt;0),J9,IF(AND(J8="ja",J6&gt;0,J7&gt;0),J4-J5," ")))</f>
        <v xml:space="preserve"> </v>
      </c>
      <c r="K10" s="287" t="str">
        <f>IF(K4=" "," ",IF(AND(K4=Datenblatt!O22,K6=0,I21&gt;0),K9,IF(AND(K8="ja",K6&gt;0,K7&gt;0),K4-K5," ")))</f>
        <v xml:space="preserve"> </v>
      </c>
      <c r="L10" s="287" t="str">
        <f>IF(L4=" "," ",IF(AND(L4=Datenblatt!O22,L6=0,I21&gt;0),L9,IF(AND(L8="ja",L6&gt;0,L7&gt;0),L4-L5," ")))</f>
        <v xml:space="preserve"> </v>
      </c>
      <c r="M10" s="287" t="str">
        <f>IF(M4=" "," ",IF(AND(M4=Datenblatt!O22,M6=0,I21&gt;0),M9,IF(AND(M8="ja",M6&gt;0,M7&gt;0),M4-M5," ")))</f>
        <v xml:space="preserve"> </v>
      </c>
    </row>
    <row r="11" spans="1:13" x14ac:dyDescent="0.2">
      <c r="A11" s="1199" t="s">
        <v>393</v>
      </c>
      <c r="B11" s="1199"/>
      <c r="C11" s="1199"/>
      <c r="D11" s="514" t="str">
        <f t="shared" ref="D11:M11" si="0">IF(D4=" ","nein",IF(D6&gt;0,"ja","nein"))</f>
        <v>nein</v>
      </c>
      <c r="E11" s="514" t="str">
        <f t="shared" si="0"/>
        <v>nein</v>
      </c>
      <c r="F11" s="514" t="str">
        <f t="shared" si="0"/>
        <v>nein</v>
      </c>
      <c r="G11" s="514" t="str">
        <f t="shared" si="0"/>
        <v>nein</v>
      </c>
      <c r="H11" s="514" t="str">
        <f t="shared" si="0"/>
        <v>nein</v>
      </c>
      <c r="I11" s="514" t="str">
        <f t="shared" si="0"/>
        <v>nein</v>
      </c>
      <c r="J11" s="514" t="str">
        <f t="shared" si="0"/>
        <v>nein</v>
      </c>
      <c r="K11" s="514" t="str">
        <f t="shared" si="0"/>
        <v>nein</v>
      </c>
      <c r="L11" s="514" t="str">
        <f t="shared" si="0"/>
        <v>nein</v>
      </c>
      <c r="M11" s="514" t="str">
        <f t="shared" si="0"/>
        <v>nein</v>
      </c>
    </row>
    <row r="12" spans="1:13" x14ac:dyDescent="0.2">
      <c r="A12" s="84">
        <f>COUNTIF(BG!E21:E26,"ja")</f>
        <v>0</v>
      </c>
    </row>
    <row r="13" spans="1:13" x14ac:dyDescent="0.2">
      <c r="D13" s="738" t="s">
        <v>344</v>
      </c>
      <c r="E13" s="738" t="s">
        <v>345</v>
      </c>
      <c r="F13" s="738" t="s">
        <v>378</v>
      </c>
      <c r="G13" s="738" t="s">
        <v>379</v>
      </c>
      <c r="H13" s="738" t="s">
        <v>380</v>
      </c>
      <c r="I13" s="742"/>
    </row>
    <row r="14" spans="1:13" x14ac:dyDescent="0.2">
      <c r="A14" s="810" t="s">
        <v>210</v>
      </c>
      <c r="B14" s="810"/>
      <c r="C14" s="873"/>
      <c r="D14" s="516" t="str">
        <f>IF(YEAR(BG!D2)=2019," ",IF(BG!C31=ISBLANK(0)," ",IF(Bedarfe!D70="nein",0,Datenblatt!O22)))</f>
        <v xml:space="preserve"> </v>
      </c>
      <c r="E14" s="516" t="str">
        <f>IF(YEAR(BG!D2)=2019," ",IF(BG!C32=ISBLANK(0)," ",IF(Bedarfe!E70="nein",0,Datenblatt!O22)))</f>
        <v xml:space="preserve"> </v>
      </c>
      <c r="F14" s="516" t="str">
        <f>IF(YEAR(BG!D2)=2019," ",IF(BG!C33=ISBLANK(0)," ",IF(Bedarfe!F70="nein",0,Datenblatt!O22)))</f>
        <v xml:space="preserve"> </v>
      </c>
      <c r="G14" s="516" t="str">
        <f>IF(YEAR(BG!D2)=2019," ",IF(BG!C34=ISBLANK(0)," ",IF(Bedarfe!G70="nein",0,Datenblatt!O22)))</f>
        <v xml:space="preserve"> </v>
      </c>
      <c r="H14" s="516" t="str">
        <f>IF(YEAR(BG!D2)=2019," ",IF(BG!C35=ISBLANK(0)," ",IF(Bedarfe!H70="nein",0,Datenblatt!O22)))</f>
        <v xml:space="preserve"> </v>
      </c>
    </row>
    <row r="15" spans="1:13" x14ac:dyDescent="0.2">
      <c r="A15" s="810" t="s">
        <v>211</v>
      </c>
      <c r="B15" s="810"/>
      <c r="C15" s="873"/>
      <c r="D15" s="287" t="str">
        <f>IF(BG!C31=ISBLANK(0)," ",'K11'!H121)</f>
        <v xml:space="preserve"> </v>
      </c>
      <c r="E15" s="287" t="str">
        <f>IF(BG!C32=ISBLANK(0)," ",'K12'!H121)</f>
        <v xml:space="preserve"> </v>
      </c>
      <c r="F15" s="287" t="str">
        <f>IF(BG!C33=ISBLANK(0)," ",'K13'!H121)</f>
        <v xml:space="preserve"> </v>
      </c>
      <c r="G15" s="287" t="str">
        <f>IF(BG!C34=ISBLANK(0)," ",'K14'!H121)</f>
        <v xml:space="preserve"> </v>
      </c>
      <c r="H15" s="287" t="str">
        <f>IF(BG!C35=ISBLANK(0)," ",'K15'!H121)</f>
        <v xml:space="preserve"> </v>
      </c>
    </row>
    <row r="16" spans="1:13" x14ac:dyDescent="0.2">
      <c r="A16" s="810" t="s">
        <v>136</v>
      </c>
      <c r="B16" s="810"/>
      <c r="C16" s="873"/>
      <c r="D16" s="287" t="str">
        <f>IF(BG!C31=ISBLANK(0)," ",Vermögen!H34)</f>
        <v xml:space="preserve"> </v>
      </c>
      <c r="E16" s="287" t="str">
        <f>IF(BG!C32=ISBLANK(0)," ",Vermögen!I34)</f>
        <v xml:space="preserve"> </v>
      </c>
      <c r="F16" s="287" t="str">
        <f>IF(BG!C33=ISBLANK(0)," ",Vermögen!J34)</f>
        <v xml:space="preserve"> </v>
      </c>
      <c r="G16" s="287" t="str">
        <f>IF(BG!C34=ISBLANK(0)," ",Vermögen!K34)</f>
        <v xml:space="preserve"> </v>
      </c>
      <c r="H16" s="287" t="str">
        <f>IF(BG!C35=ISBLANK(0)," ",Vermögen!L34)</f>
        <v xml:space="preserve"> </v>
      </c>
    </row>
    <row r="17" spans="1:9" x14ac:dyDescent="0.2">
      <c r="A17" s="810" t="s">
        <v>212</v>
      </c>
      <c r="B17" s="810"/>
      <c r="C17" s="873"/>
      <c r="D17" s="287" t="str">
        <f>IF(BG!C31=ISBLANK(0)," ",IF(D14-D15-D16&lt;0,0,D14-D15-D16))</f>
        <v xml:space="preserve"> </v>
      </c>
      <c r="E17" s="287" t="str">
        <f>IF(BG!C32=ISBLANK(0)," ",IF(E14-E15-E16&lt;0,0,E14-E15-E16))</f>
        <v xml:space="preserve"> </v>
      </c>
      <c r="F17" s="287" t="str">
        <f>IF(BG!C33=ISBLANK(0)," ",IF(F14-F15-F16&lt;0,0,F14-F15-F16))</f>
        <v xml:space="preserve"> </v>
      </c>
      <c r="G17" s="287" t="str">
        <f>IF(BG!C34=ISBLANK(0)," ",IF(G14-G15-G16&lt;0,0,G14-G15-G16))</f>
        <v xml:space="preserve"> </v>
      </c>
      <c r="H17" s="287" t="str">
        <f>IF(BG!C35=ISBLANK(0)," ",IF(H14-H15-H16&lt;0,0,H14-H15-H16))</f>
        <v xml:space="preserve"> </v>
      </c>
    </row>
    <row r="18" spans="1:9" x14ac:dyDescent="0.2">
      <c r="A18" s="810" t="s">
        <v>213</v>
      </c>
      <c r="B18" s="810"/>
      <c r="C18" s="873"/>
      <c r="D18" s="738" t="str">
        <f>IF(BG!$C$31=ISBLANK(0)," ",IF(AND(Bedarfe!E64="nein",Bedarfe!E70="nein"),"nein","ja"))</f>
        <v xml:space="preserve"> </v>
      </c>
      <c r="E18" s="738" t="str">
        <f>IF(BG!$C$32=ISBLANK(0)," ",IF(AND(Bedarfe!F64="nein",Bedarfe!F70="nein"),"nein","ja"))</f>
        <v xml:space="preserve"> </v>
      </c>
      <c r="F18" s="738" t="str">
        <f>IF(BG!$C$33=ISBLANK(0)," ",IF(AND(Bedarfe!G64="nein",Bedarfe!G70="nein"),"nein","ja"))</f>
        <v xml:space="preserve"> </v>
      </c>
      <c r="G18" s="738" t="str">
        <f>IF(BG!$C$34=ISBLANK(0)," ",IF(AND(Bedarfe!H64="nein",Bedarfe!H70="nein"),"nein","ja"))</f>
        <v xml:space="preserve"> </v>
      </c>
      <c r="H18" s="738" t="str">
        <f>IF(BG!$C$35=ISBLANK(0)," ",IF(AND(Bedarfe!I64="nein",Bedarfe!I70="nein"),"nein","ja"))</f>
        <v xml:space="preserve"> </v>
      </c>
    </row>
    <row r="19" spans="1:9" x14ac:dyDescent="0.2">
      <c r="A19" s="810" t="s">
        <v>214</v>
      </c>
      <c r="B19" s="810"/>
      <c r="C19" s="873"/>
      <c r="D19" s="741" t="str">
        <f>IF(BG!$C$31=ISBLANK(0)," ",IF(OR(BG!$E$31=".",BG!$E$31="nein"),"kein KG ",IF(AND(BG!$E$31="ja",D18="ja"),D17," ")))</f>
        <v xml:space="preserve"> </v>
      </c>
      <c r="E19" s="741" t="str">
        <f>IF(BG!$C$32=ISBLANK(0)," ",IF(OR(BG!$E$32=".",BG!$E$32="nein"),"kein KG ",IF(AND(BG!$E$32="ja",E18="ja"),E17," ")))</f>
        <v xml:space="preserve"> </v>
      </c>
      <c r="F19" s="741" t="str">
        <f>IF(BG!$C$33=ISBLANK(0)," ",IF(OR(BG!$E$33=".",BG!$E$33="nein"),"kein KG ",IF(AND(BG!$E$33="ja",F18="ja"),F17," ")))</f>
        <v xml:space="preserve"> </v>
      </c>
      <c r="G19" s="741" t="str">
        <f>IF(BG!$C$34=ISBLANK(0)," ",IF(OR(BG!$E$34=".",BG!$E$34="nein"),"kein KG ",IF(AND(BG!$E$34="ja",G18="ja"),G17," ")))</f>
        <v xml:space="preserve"> </v>
      </c>
      <c r="H19" s="741" t="str">
        <f>IF(BG!$C$35=ISBLANK(0)," ",IF(OR(BG!$E$35=".",BG!$E$35="nein"),"kein KG ",IF(AND(BG!$E$35="ja",H18="ja"),H17," ")))</f>
        <v xml:space="preserve"> </v>
      </c>
      <c r="I19" s="240"/>
    </row>
    <row r="20" spans="1:9" x14ac:dyDescent="0.2">
      <c r="A20" s="810" t="str">
        <f>IF(I21&gt;0,"Kinderzuschlag ab Folgemonat"," ")</f>
        <v xml:space="preserve"> </v>
      </c>
      <c r="B20" s="810"/>
      <c r="C20" s="810"/>
      <c r="D20" s="287" t="str">
        <f>IF(D14=" "," ",IF(AND(D14=Datenblatt!O22,D16=0,I21&gt;0),D19,IF(AND(D18="ja",D16&gt;0,D17&gt;0),D14-D15," ")))</f>
        <v xml:space="preserve"> </v>
      </c>
      <c r="E20" s="287" t="str">
        <f>IF(E14=" "," ",IF(AND(E14=Datenblatt!O22,E16=0,I21&gt;0),E19,IF(AND(E18="ja",E16&gt;0,E17&gt;0),E14-E15," ")))</f>
        <v xml:space="preserve"> </v>
      </c>
      <c r="F20" s="287" t="str">
        <f>IF(F14=" "," ",IF(AND(F14=Datenblatt!O22,F16=0,I21&gt;0),F19,IF(AND(F18="ja",F16&gt;0,F17&gt;0),F14-F15," ")))</f>
        <v xml:space="preserve"> </v>
      </c>
      <c r="G20" s="287" t="str">
        <f>IF(G14=" "," ",IF(AND(G14=Datenblatt!O22,G16=0,I21&gt;0),G19,IF(AND(G18="ja",G16&gt;0,G17&gt;0),G14-G15," ")))</f>
        <v xml:space="preserve"> </v>
      </c>
      <c r="H20" s="287" t="str">
        <f>IF(H14=" "," ",IF(AND(H14=Datenblatt!O22,H16=0,I21&gt;0),H19,IF(AND(H18="ja",H16&gt;0,H17&gt;0),H14-H15," ")))</f>
        <v xml:space="preserve"> </v>
      </c>
      <c r="I20" s="240"/>
    </row>
    <row r="21" spans="1:9" x14ac:dyDescent="0.2">
      <c r="A21" s="1200" t="s">
        <v>393</v>
      </c>
      <c r="B21" s="1200"/>
      <c r="C21" s="1200"/>
      <c r="D21" s="514" t="str">
        <f>IF(D14=" ","nein",IF(D16&gt;0,"ja","nein"))</f>
        <v>nein</v>
      </c>
      <c r="E21" s="514" t="str">
        <f>IF(E14=" ","nein",IF(E16&gt;0,"ja","nein"))</f>
        <v>nein</v>
      </c>
      <c r="F21" s="514" t="str">
        <f>IF(F14=" ","nein",IF(F16&gt;0,"ja","nein"))</f>
        <v>nein</v>
      </c>
      <c r="G21" s="514" t="str">
        <f>IF(G14=" ","nein",IF(G16&gt;0,"ja","nein"))</f>
        <v>nein</v>
      </c>
      <c r="H21" s="514" t="str">
        <f>IF(H14=" ","nein",IF(H16&gt;0,"ja","nein"))</f>
        <v>nein</v>
      </c>
      <c r="I21" s="84">
        <f>COUNTIF(D21:H21,"ja")+(COUNTIF(D11:M11,"ja"))</f>
        <v>0</v>
      </c>
    </row>
    <row r="22" spans="1:9" ht="15" x14ac:dyDescent="0.25">
      <c r="A22" s="915" t="s">
        <v>215</v>
      </c>
      <c r="B22" s="915"/>
      <c r="C22" s="931"/>
      <c r="D22" s="437" t="str">
        <f>IF(BG!D2&lt;=BG!E2," ",IF(MEG!F83&lt;MEG!F85," ",SUM(D9:M9)+SUM(D19:H19)))</f>
        <v xml:space="preserve"> </v>
      </c>
    </row>
    <row r="23" spans="1:9" x14ac:dyDescent="0.2">
      <c r="A23" s="810" t="str">
        <f>IF(I21&gt;0,"GesamtKiZ ab Folgemonat"," ")</f>
        <v xml:space="preserve"> </v>
      </c>
      <c r="B23" s="810"/>
      <c r="C23" s="810"/>
      <c r="D23" s="287" t="str">
        <f>IF(MEG!F83&lt;MEG!F85," ",IF(I21&gt;0,SUM(D10:M10)+SUM(D20:H20),0))</f>
        <v xml:space="preserve"> </v>
      </c>
    </row>
    <row r="29" spans="1:9" ht="15" x14ac:dyDescent="0.25">
      <c r="B29" s="349" t="str">
        <f>IF(BG!D2=ISBLANK(0),"Es wurde kein Antragsmonat angegeben.",IF(A12=0,"Es wurde für kein Kind in der Bedarfsgemeinschaft ein Kindergeldbezug ausgewählt.",IF(D22=0,"Es besteht kein Anspruch auf Kinderzuschlag!"," ")))</f>
        <v>Es wurde kein Antragsmonat angegeben.</v>
      </c>
    </row>
    <row r="32" spans="1:9" ht="15" x14ac:dyDescent="0.25">
      <c r="A32" s="249" t="s">
        <v>324</v>
      </c>
      <c r="D32" s="127"/>
      <c r="E32" s="127"/>
      <c r="F32" s="127"/>
    </row>
    <row r="33" spans="1:11" x14ac:dyDescent="0.2">
      <c r="D33" s="84" t="s">
        <v>496</v>
      </c>
      <c r="E33" s="84"/>
      <c r="F33" s="84"/>
      <c r="G33" s="84"/>
    </row>
    <row r="34" spans="1:11" x14ac:dyDescent="0.2">
      <c r="A34" s="810" t="s">
        <v>216</v>
      </c>
      <c r="B34" s="810"/>
      <c r="C34" s="287" t="str">
        <f>IF(BG!D2&lt;=BG!E2," ",IF(MEG!F83&lt;MEG!F85," ",IF(D22=0," ",IF(AND(BG!D8="alleinerziehend",D34=1),0,IF(AND(BG!D8="mit Partner",D34=1),Bedarfe!C12,IF(AND(BG!D8="verheiratet",D34=1),Bedarfe!C12,IF(AND(BG!D8="mit Partner",D34=2),0,IF(AND(BG!D8="verheiratet",D34=2),0,Datenblatt!B44+Datenblatt!C44))))))))</f>
        <v xml:space="preserve"> </v>
      </c>
      <c r="D34" s="84">
        <f>COUNTIF(Bedarfe!C22:D22,"ja")</f>
        <v>0</v>
      </c>
      <c r="E34" s="84"/>
      <c r="F34" s="84"/>
      <c r="G34" s="84"/>
    </row>
    <row r="35" spans="1:11" x14ac:dyDescent="0.2">
      <c r="A35" s="810" t="s">
        <v>143</v>
      </c>
      <c r="B35" s="810"/>
      <c r="C35" s="287" t="str">
        <f>IF(BG!D2&lt;=BG!E2," ",IF(MEG!F83&lt;MEG!F85," ",IF(D22=0," ",IF(AND(BG!D8="alleinerziehend",BG!F19="Student"),Bedarfe!C14,SUM(IF(OR(BG!F19="Student",BG!F19="nein",BG!F19="."),Bedarfe!C14,0)+IF(OR(BG!F20="Student",BG!F20="nein",BG!F20="."),Bedarfe!D14,0))))))</f>
        <v xml:space="preserve"> </v>
      </c>
      <c r="D35" s="84"/>
      <c r="E35" s="84"/>
      <c r="F35" s="84"/>
      <c r="G35" s="84"/>
    </row>
    <row r="36" spans="1:11" ht="15" thickBot="1" x14ac:dyDescent="0.25">
      <c r="A36" s="1215" t="s">
        <v>217</v>
      </c>
      <c r="B36" s="1215"/>
      <c r="C36" s="275" t="str">
        <f>IF(BG!D2&lt;=BG!E2," ",IF(MEG!F83&lt;MEG!F85," ",IF(D22=0," ",IF(BG!D8="alleinerziehend",'anteilige Wohnkosten'!H24,'anteilige Wohnkosten'!H25))))</f>
        <v xml:space="preserve"> </v>
      </c>
      <c r="D36" s="84"/>
      <c r="E36" s="84"/>
      <c r="F36" s="84"/>
      <c r="G36" s="84"/>
    </row>
    <row r="37" spans="1:11" ht="15" thickTop="1" x14ac:dyDescent="0.2">
      <c r="A37" s="908" t="s">
        <v>325</v>
      </c>
      <c r="B37" s="908"/>
      <c r="C37" s="760" t="str">
        <f>IF(BG!D2&lt;=BG!E2," ",IF(MEG!F83&lt;MEG!F85," ",IF(D22=0," ",SUM(C34:C36))))</f>
        <v xml:space="preserve"> </v>
      </c>
      <c r="D37" s="84"/>
      <c r="E37" s="84"/>
      <c r="F37" s="84"/>
      <c r="G37" s="84"/>
    </row>
    <row r="38" spans="1:11" x14ac:dyDescent="0.2">
      <c r="D38" s="127"/>
      <c r="E38" s="127"/>
      <c r="F38" s="127"/>
    </row>
    <row r="39" spans="1:11" x14ac:dyDescent="0.2">
      <c r="D39" s="127"/>
      <c r="E39" s="127"/>
      <c r="F39" s="127"/>
    </row>
    <row r="40" spans="1:11" x14ac:dyDescent="0.2">
      <c r="D40" s="127"/>
      <c r="E40" s="127"/>
      <c r="F40" s="127"/>
    </row>
    <row r="41" spans="1:11" x14ac:dyDescent="0.2">
      <c r="D41" s="127"/>
      <c r="E41" s="127"/>
      <c r="F41" s="127"/>
    </row>
    <row r="44" spans="1:11" ht="15" x14ac:dyDescent="0.25">
      <c r="A44" s="249" t="s">
        <v>433</v>
      </c>
    </row>
    <row r="46" spans="1:11" ht="15" x14ac:dyDescent="0.25">
      <c r="A46" s="249"/>
    </row>
    <row r="47" spans="1:11" x14ac:dyDescent="0.2">
      <c r="D47" s="739">
        <v>2025</v>
      </c>
      <c r="K47" s="739">
        <v>2025</v>
      </c>
    </row>
    <row r="48" spans="1:11" x14ac:dyDescent="0.2">
      <c r="A48" s="810" t="s">
        <v>574</v>
      </c>
      <c r="B48" s="810"/>
      <c r="C48" s="810"/>
      <c r="D48" s="287" t="str">
        <f>IF(BG!D2&lt;=BG!E2," ",IF(MEG!F83&lt;MEG!F85," ",IF(D22=0," ",IF(OR(BG!F19="Student",BG!F20="Student"),MAX(Datenblatt!A94+Datenblatt!B94-Datenblatt!C56-Datenblatt!E56,0),MAX(Datenblatt!G55+Datenblatt!H55-Datenblatt!C56-Datenblatt!E56,0)))))</f>
        <v xml:space="preserve"> </v>
      </c>
      <c r="H48" s="873" t="s">
        <v>227</v>
      </c>
      <c r="I48" s="1196"/>
      <c r="J48" s="874"/>
      <c r="K48" s="287" t="str">
        <f>IF(BG!D2&lt;=BG!E2," ",IF(MEG!F83&lt;MEG!F85," ",IF(D22=0," ",D22)))</f>
        <v xml:space="preserve"> </v>
      </c>
    </row>
    <row r="49" spans="1:12" x14ac:dyDescent="0.2">
      <c r="A49" s="810" t="s">
        <v>305</v>
      </c>
      <c r="B49" s="810"/>
      <c r="C49" s="810"/>
      <c r="D49" s="287" t="str">
        <f>IF(BG!D2&lt;=BG!E2," ",IF(MEG!F83&lt;MEG!F85," ",IF(D22=0," ",IF(OR(BG!F19="Student",BG!F20="Student"),Datenblatt!A93+Datenblatt!B93,Datenblatt!G59+Datenblatt!H59))))</f>
        <v xml:space="preserve"> </v>
      </c>
      <c r="H49" s="873" t="str">
        <f>IF(D23=D22," ",IF(I21&gt;0,"Kinderzuschlag ab Folgemonat:"," "))</f>
        <v xml:space="preserve"> </v>
      </c>
      <c r="I49" s="1196"/>
      <c r="J49" s="874"/>
      <c r="K49" s="287" t="str">
        <f>IF(BG!D2&lt;=BG!E2," ",IF(MEG!F83&lt;MEG!F85," ",IF(D23=D22," ",D23)))</f>
        <v xml:space="preserve"> </v>
      </c>
    </row>
    <row r="50" spans="1:12" x14ac:dyDescent="0.2">
      <c r="A50" s="1214" t="s">
        <v>84</v>
      </c>
      <c r="B50" s="1214"/>
      <c r="C50" s="1214"/>
      <c r="D50" s="287" t="str">
        <f>IF(BG!D2&lt;=BG!E2," ",IF(MEG!F83&lt;MEG!F85," ",IF(D22=0," ",D48+D49)))</f>
        <v xml:space="preserve"> </v>
      </c>
      <c r="H50" s="873" t="s">
        <v>228</v>
      </c>
      <c r="I50" s="1196"/>
      <c r="J50" s="874"/>
      <c r="K50" s="287"/>
    </row>
    <row r="51" spans="1:12" x14ac:dyDescent="0.2">
      <c r="A51" s="810" t="s">
        <v>325</v>
      </c>
      <c r="B51" s="810"/>
      <c r="C51" s="810"/>
      <c r="D51" s="287" t="str">
        <f>IF(BG!D2&lt;=BG!E2," ",IF(MEG!F83&lt;MEG!F85," ",C37))</f>
        <v xml:space="preserve"> </v>
      </c>
      <c r="H51" s="1191" t="s">
        <v>339</v>
      </c>
      <c r="I51" s="1192"/>
      <c r="J51" s="1193"/>
      <c r="K51" s="519"/>
    </row>
    <row r="52" spans="1:12" x14ac:dyDescent="0.2">
      <c r="A52" s="1209" t="s">
        <v>524</v>
      </c>
      <c r="B52" s="1209"/>
      <c r="C52" s="1209"/>
      <c r="D52" s="519"/>
      <c r="H52" s="1201" t="s">
        <v>327</v>
      </c>
      <c r="I52" s="1202"/>
      <c r="J52" s="1203"/>
      <c r="K52" s="520" t="str">
        <f>IF(BG!D2&lt;=BG!E2," ",IF(MEG!F83&lt;MEG!F85," ",IF(D22=0,0,IF((D48-D51)&lt;=0,0,D48-D51))))</f>
        <v xml:space="preserve"> </v>
      </c>
    </row>
    <row r="53" spans="1:12" x14ac:dyDescent="0.2">
      <c r="A53" s="1210" t="s">
        <v>327</v>
      </c>
      <c r="B53" s="1210"/>
      <c r="C53" s="1210"/>
      <c r="D53" s="520" t="str">
        <f>IF(BG!D2&lt;=BG!E2," ",IF(MEG!F83&lt;MEG!F85," ",IF(D22=0," ",IF(D50-D51&lt;0,0,D50-D51))))</f>
        <v xml:space="preserve"> </v>
      </c>
      <c r="H53" s="1191" t="s">
        <v>229</v>
      </c>
      <c r="I53" s="1192"/>
      <c r="J53" s="1193"/>
      <c r="K53" s="519"/>
    </row>
    <row r="54" spans="1:12" x14ac:dyDescent="0.2">
      <c r="H54" s="1201" t="s">
        <v>329</v>
      </c>
      <c r="I54" s="1202"/>
      <c r="J54" s="1203"/>
      <c r="K54" s="520" t="str">
        <f>IF(BG!D2&lt;=BG!E2," ",IF(MEG!F83&lt;MEG!F85," ",IF(D22=0," ",IF(D53=0,0,(D50-D51-K52)))))</f>
        <v xml:space="preserve"> </v>
      </c>
    </row>
    <row r="55" spans="1:12" x14ac:dyDescent="0.2">
      <c r="H55" s="904" t="s">
        <v>253</v>
      </c>
      <c r="I55" s="1204"/>
      <c r="J55" s="905"/>
      <c r="K55" s="275"/>
    </row>
    <row r="56" spans="1:12" x14ac:dyDescent="0.2">
      <c r="A56" s="1219"/>
      <c r="B56" s="1219"/>
      <c r="C56" s="1219"/>
      <c r="H56" s="906" t="s">
        <v>255</v>
      </c>
      <c r="I56" s="1208"/>
      <c r="J56" s="907"/>
      <c r="K56" s="296" t="str">
        <f>IF(BG!D2&lt;=BG!E2," ",IF(MEG!F83&lt;MEG!F85," ",IF(D22=0,0,K54*45%)))</f>
        <v xml:space="preserve"> </v>
      </c>
    </row>
    <row r="57" spans="1:12" x14ac:dyDescent="0.2">
      <c r="A57" s="1220"/>
      <c r="B57" s="1220"/>
      <c r="C57" s="1220"/>
    </row>
    <row r="58" spans="1:12" ht="29.25" customHeight="1" x14ac:dyDescent="0.2">
      <c r="A58" s="1220"/>
      <c r="B58" s="1220"/>
      <c r="C58" s="1220"/>
      <c r="H58" s="1216" t="s">
        <v>525</v>
      </c>
      <c r="I58" s="1217"/>
      <c r="J58" s="1218"/>
      <c r="K58" s="287" t="str">
        <f>IF(BG!D2&lt;=BG!E2," ",IF(MEG!F83&lt;MEG!F85," ",IF(D22=0,0,IF(K48-K52-K56&lt;0,0,ROUND((K48-K52-K56),0)))))</f>
        <v xml:space="preserve"> </v>
      </c>
    </row>
    <row r="59" spans="1:12" ht="14.25" customHeight="1" x14ac:dyDescent="0.2">
      <c r="A59" s="1219"/>
      <c r="B59" s="1219"/>
      <c r="C59" s="1219"/>
      <c r="D59" s="309"/>
      <c r="H59" s="1221" t="str">
        <f>IF(D23=D22," ",IF(I21&gt;0,"Gesamtkinderzuschlag ab Folgemonat"," "))</f>
        <v xml:space="preserve"> </v>
      </c>
      <c r="I59" s="1221"/>
      <c r="J59" s="1221"/>
      <c r="K59" s="294" t="str">
        <f>IF(BG!D2=ISBLANK(0)," ",IF(BG!D2&lt;=BG!E2," ",IF(MEG!F83&lt;MEG!F85," ",IF(D22=0," ",IF(K49=0," ",IF(D23=D22," ",MAX(0,ROUND((K49-K52-K56),0))))))))</f>
        <v xml:space="preserve"> </v>
      </c>
      <c r="L59" s="240"/>
    </row>
    <row r="60" spans="1:12" ht="5.25" customHeight="1" x14ac:dyDescent="0.2">
      <c r="A60" s="1136"/>
      <c r="B60" s="1136"/>
      <c r="C60" s="1136"/>
      <c r="D60" s="1136"/>
      <c r="E60" s="309"/>
      <c r="H60" s="1221"/>
      <c r="I60" s="1221"/>
      <c r="J60" s="1221"/>
      <c r="K60" s="761"/>
      <c r="L60" s="240"/>
    </row>
    <row r="61" spans="1:12" x14ac:dyDescent="0.2">
      <c r="A61" s="1222"/>
      <c r="B61" s="1222"/>
      <c r="C61" s="1222"/>
      <c r="D61" s="1222"/>
      <c r="E61" s="309"/>
      <c r="H61" s="904" t="s">
        <v>523</v>
      </c>
      <c r="I61" s="1204"/>
      <c r="J61" s="905"/>
      <c r="K61" s="762" t="str">
        <f>IF(BG!D2&lt;=BG!E2," ",IF(MEG!F83&lt;MEG!F85," ",IF(D22=0,"",Datenblatt!G56+Datenblatt!H56)))</f>
        <v xml:space="preserve"> </v>
      </c>
    </row>
    <row r="62" spans="1:12" x14ac:dyDescent="0.2">
      <c r="A62" s="1222"/>
      <c r="B62" s="1222"/>
      <c r="C62" s="1222"/>
      <c r="D62" s="1222"/>
      <c r="E62" s="309"/>
      <c r="H62" s="873" t="s">
        <v>260</v>
      </c>
      <c r="I62" s="1196"/>
      <c r="J62" s="874"/>
      <c r="K62" s="290" t="str">
        <f>IF(BG!D2&lt;=BG!E2," ",IF(MEG!F83&lt;MEG!F85," ",IF(D22=0,"",MAX(0,ROUND(K58-K61,0)))))</f>
        <v xml:space="preserve"> </v>
      </c>
    </row>
    <row r="63" spans="1:12" ht="15" x14ac:dyDescent="0.25">
      <c r="A63" s="1222"/>
      <c r="B63" s="1222"/>
      <c r="C63" s="1222"/>
      <c r="D63" s="1222"/>
      <c r="E63" s="309"/>
      <c r="H63" s="1223" t="str">
        <f>IF(K63=" "," ","Kinderzuschlag ab Folgemonat:")</f>
        <v xml:space="preserve"> </v>
      </c>
      <c r="I63" s="902"/>
      <c r="J63" s="1224"/>
      <c r="K63" s="763" t="str">
        <f>IF(AND(K61=0,D23=0)," ",IF(AND(K61&gt;K58)," ",IF(AND(K61=0,K58&lt;D23),K59,IF(AND(D23=0,K61&lt;D22),K58,IF(AND(D22&lt;D23,K61&lt;K58),K59," ")))))</f>
        <v xml:space="preserve"> </v>
      </c>
      <c r="L63" s="309"/>
    </row>
    <row r="65" spans="1:11" ht="15" x14ac:dyDescent="0.25">
      <c r="A65" s="249" t="s">
        <v>434</v>
      </c>
    </row>
    <row r="67" spans="1:11" x14ac:dyDescent="0.2">
      <c r="A67" s="810" t="s">
        <v>256</v>
      </c>
      <c r="B67" s="810"/>
      <c r="C67" s="810"/>
      <c r="D67" s="810"/>
      <c r="E67" s="287" t="str">
        <f>IF(BG!D2&lt;=BG!E2," ",Bedarfe!H98)</f>
        <v xml:space="preserve"> </v>
      </c>
      <c r="H67" s="1211" t="str">
        <f>IF(BG!D2=ISBLANK(0),"Es wurde kein Antragsmonat angegeben.",IF(BG!D2&lt;=BG!E2,"Bitte den Reiter zur Berechnung bis Dezember 2019 auswählen.",IF(MEG!F83&lt;MEG!F85,"Es besteht kein Anspruch auf Kinderzuschlag. Die Mindesteinkommensgrenze wird unterschritten.",IF(D22=0,"Es besteht kein Anspruch auf Kinderzuschlag. Der Gesamtkinderzuschlag wurde auf 0,00 € gemindert.",IF(AND(K58&lt;K61,K58&gt;0),"Es besteht kein Anspruch auf Kinderzuschlag. Das Vermögen der Eltern übersteigt den Kinderzuschlag.",IF(K58=0,"Es besteht kein Anspruch auf Kinderzuschlag. Das Erwerbseinkommen und/oder sonstige Einkommen mindern den Gesamtkinderzuschlag auf 0,00 €.",IF(E74=0,"Es besteht Anspruch auf Kinderzuschlag.",IF(AND(SUM(AS!I26,EP!I26)&gt;=100,E70=E74,E74&lt;=100,E76="."),"Bitte die Frage zum Alg II - Bezug beantworten.",IF(AND(SUM(AS!I26,EP!I26)&gt;=100,E72&gt;0,E74&lt;=100,E76="."),"Bitte die Frage zum Alg II - Bezug beantworten.",IF(AND(SUM(AS!I26,EP!I26)&gt;=100,E70=E74,E74&lt;=100,E76="nein"),"Es besteht Anspruch auf Kinderzuschlag.  (erweiterter Zugang)",IF(AND(SUM(AS!I26,EP!I26)&gt;=100,E72&gt;0,E74&lt;=100,E76="nein"),"Es besteht Anspruch auf Kinderzuschlag.  (erweiterter Zugang)",IF(AND(Kurzantrag!G7&gt;0,E76="ja"),"Es besteht Anspruch auf Kinderzuschlag.  (erweiterter Zugang)","Es besteht kein Anspruch auf Kinderzuschlag. Hilfebedürftigkeit kann nicht vermieden werden."))))))))))))</f>
        <v>Es wurde kein Antragsmonat angegeben.</v>
      </c>
      <c r="I67" s="1211"/>
      <c r="J67" s="1211"/>
      <c r="K67" s="1211"/>
    </row>
    <row r="68" spans="1:11" ht="15" x14ac:dyDescent="0.25">
      <c r="A68" s="915" t="s">
        <v>260</v>
      </c>
      <c r="B68" s="915"/>
      <c r="C68" s="915"/>
      <c r="D68" s="915"/>
      <c r="E68" s="287" t="str">
        <f>IF(BG!D2&lt;=BG!E2," ",IF(MEG!F83&lt;MEG!F85," ",K62))</f>
        <v xml:space="preserve"> </v>
      </c>
      <c r="H68" s="1211"/>
      <c r="I68" s="1211"/>
      <c r="J68" s="1211"/>
      <c r="K68" s="1211"/>
    </row>
    <row r="69" spans="1:11" x14ac:dyDescent="0.2">
      <c r="H69" s="1211"/>
      <c r="I69" s="1211"/>
      <c r="J69" s="1211"/>
      <c r="K69" s="1211"/>
    </row>
    <row r="70" spans="1:11" x14ac:dyDescent="0.2">
      <c r="A70" s="810" t="s">
        <v>257</v>
      </c>
      <c r="B70" s="810"/>
      <c r="C70" s="810"/>
      <c r="D70" s="810"/>
      <c r="E70" s="287" t="str">
        <f>IF(BG!D2&lt;=BG!E2," ",IF(MEG!F83&lt;MEG!F85," ",IF(K62="","",IF(E67-E68&lt;0,0,E67-E68))))</f>
        <v xml:space="preserve"> </v>
      </c>
      <c r="G70" s="764"/>
      <c r="H70" s="1211"/>
      <c r="I70" s="1211"/>
      <c r="J70" s="1211"/>
      <c r="K70" s="1211"/>
    </row>
    <row r="71" spans="1:11" x14ac:dyDescent="0.2">
      <c r="H71" s="1211"/>
      <c r="I71" s="1211"/>
      <c r="J71" s="1211"/>
      <c r="K71" s="1211"/>
    </row>
    <row r="72" spans="1:11" x14ac:dyDescent="0.2">
      <c r="A72" s="810" t="s">
        <v>258</v>
      </c>
      <c r="B72" s="810"/>
      <c r="C72" s="810"/>
      <c r="D72" s="810"/>
      <c r="E72" s="436"/>
      <c r="H72" s="1211"/>
      <c r="I72" s="1211"/>
      <c r="J72" s="1211"/>
      <c r="K72" s="1211"/>
    </row>
    <row r="73" spans="1:11" x14ac:dyDescent="0.2">
      <c r="H73" s="1211"/>
      <c r="I73" s="1211"/>
      <c r="J73" s="1211"/>
      <c r="K73" s="1211"/>
    </row>
    <row r="74" spans="1:11" x14ac:dyDescent="0.2">
      <c r="A74" s="810" t="s">
        <v>259</v>
      </c>
      <c r="B74" s="810"/>
      <c r="C74" s="810"/>
      <c r="D74" s="810"/>
      <c r="E74" s="287" t="str">
        <f>IF(E70=0,0,IF(OR(E72=ISBLANK(0),E72=0),E70,IF(E67-E68-E72&lt;0,0,E67-E68-E72)))</f>
        <v xml:space="preserve"> </v>
      </c>
      <c r="H74" s="1211"/>
      <c r="I74" s="1211"/>
      <c r="J74" s="1211"/>
      <c r="K74" s="1211"/>
    </row>
    <row r="76" spans="1:11" x14ac:dyDescent="0.2">
      <c r="A76" s="810" t="str">
        <f>IF(BG!D2&lt;=BG!E2," ",IF(MEG!F83&lt;MEG!F85," ",IF(AND(SUM(AS!I26,EP!I26)&gt;=100,E70=E74,E74&gt;0,E74&lt;=100),"Wurde Alg II beantragt oder wird Alg II bezogen?",IF(AND(SUM(AS!I26,EP!I26)&gt;=100,E72&gt;0,E74&gt;0,E74&lt;=100),"Wurde Alg II beantragt oder wird Alg II bezogen?",IF(AND(Kurzantrag!G7&gt;0,'Kiz ab Januar 2025'!E74&lt;101,'Kiz ab Januar 2025'!E74&gt;0),"erweiterter Zugang möglich?"," ")))))</f>
        <v xml:space="preserve"> </v>
      </c>
      <c r="B76" s="810"/>
      <c r="C76" s="810"/>
      <c r="D76" s="810"/>
      <c r="E76" s="244"/>
    </row>
    <row r="77" spans="1:11" x14ac:dyDescent="0.2">
      <c r="E77" s="765" t="str">
        <f>IF(AND(D49&gt;0,E70=E74,E74&gt;0,E74&lt;=100),"Wurde Alg II beantragt oder wird Alg II bezogen?",IF(AND(D49&gt;0,E72&gt;0,E74&gt;0,E74&lt;=100),"bitte hier auswählen"," "))</f>
        <v xml:space="preserve"> </v>
      </c>
    </row>
    <row r="78" spans="1:11" ht="6" customHeight="1" x14ac:dyDescent="0.25">
      <c r="A78" s="349"/>
    </row>
    <row r="79" spans="1:11" ht="15" x14ac:dyDescent="0.25">
      <c r="A79" s="349" t="s">
        <v>441</v>
      </c>
    </row>
    <row r="81" spans="1:1" x14ac:dyDescent="0.2">
      <c r="A81" s="659" t="s">
        <v>442</v>
      </c>
    </row>
    <row r="82" spans="1:1" x14ac:dyDescent="0.2">
      <c r="A82" s="659" t="s">
        <v>443</v>
      </c>
    </row>
  </sheetData>
  <sheetProtection algorithmName="SHA-512" hashValue="GeA+H0Tpqt7caq7x/Fp0wXeR71Zdhp+PYtlxIuQ5Ne8ZYvEd6CiyaP/IeUEK7hayUKyE8vHAuWiagCmfYQe8ng==" saltValue="iNVC0iAzSJ9H2DB8iGLwcA==" spinCount="100000" sheet="1" objects="1" scenarios="1"/>
  <mergeCells count="58">
    <mergeCell ref="H59:J59"/>
    <mergeCell ref="H62:J62"/>
    <mergeCell ref="A63:D63"/>
    <mergeCell ref="A59:C59"/>
    <mergeCell ref="A60:D60"/>
    <mergeCell ref="A61:D61"/>
    <mergeCell ref="A62:D62"/>
    <mergeCell ref="H63:J63"/>
    <mergeCell ref="H60:J60"/>
    <mergeCell ref="H61:J61"/>
    <mergeCell ref="H54:J54"/>
    <mergeCell ref="H55:J55"/>
    <mergeCell ref="H56:J56"/>
    <mergeCell ref="H58:J58"/>
    <mergeCell ref="A51:C51"/>
    <mergeCell ref="A52:C52"/>
    <mergeCell ref="A53:C53"/>
    <mergeCell ref="H53:J53"/>
    <mergeCell ref="A56:C56"/>
    <mergeCell ref="A57:C57"/>
    <mergeCell ref="A58:C58"/>
    <mergeCell ref="H48:J48"/>
    <mergeCell ref="H49:J49"/>
    <mergeCell ref="H50:J50"/>
    <mergeCell ref="H51:J51"/>
    <mergeCell ref="H52:J52"/>
    <mergeCell ref="A50:C50"/>
    <mergeCell ref="A19:C19"/>
    <mergeCell ref="A4:C4"/>
    <mergeCell ref="A5:C5"/>
    <mergeCell ref="A6:C6"/>
    <mergeCell ref="A7:C7"/>
    <mergeCell ref="A8:C8"/>
    <mergeCell ref="A20:C20"/>
    <mergeCell ref="A21:C21"/>
    <mergeCell ref="A22:C22"/>
    <mergeCell ref="A34:B34"/>
    <mergeCell ref="A49:C49"/>
    <mergeCell ref="A35:B35"/>
    <mergeCell ref="A36:B36"/>
    <mergeCell ref="A37:B37"/>
    <mergeCell ref="A48:C48"/>
    <mergeCell ref="A74:D74"/>
    <mergeCell ref="H67:K74"/>
    <mergeCell ref="A76:D76"/>
    <mergeCell ref="A9:C9"/>
    <mergeCell ref="A67:D67"/>
    <mergeCell ref="A68:D68"/>
    <mergeCell ref="A70:D70"/>
    <mergeCell ref="A72:D72"/>
    <mergeCell ref="A23:C23"/>
    <mergeCell ref="A10:C10"/>
    <mergeCell ref="A11:C11"/>
    <mergeCell ref="A14:C14"/>
    <mergeCell ref="A15:C15"/>
    <mergeCell ref="A16:C16"/>
    <mergeCell ref="A17:C17"/>
    <mergeCell ref="A18:C18"/>
  </mergeCells>
  <conditionalFormatting sqref="D23">
    <cfRule type="cellIs" dxfId="13" priority="3" operator="equal">
      <formula>0</formula>
    </cfRule>
  </conditionalFormatting>
  <conditionalFormatting sqref="K58 K56">
    <cfRule type="expression" dxfId="12" priority="2">
      <formula>$D$22=0</formula>
    </cfRule>
  </conditionalFormatting>
  <conditionalFormatting sqref="K52">
    <cfRule type="expression" dxfId="11" priority="1">
      <formula>$D$22=0</formula>
    </cfRule>
  </conditionalFormatting>
  <dataValidations count="1">
    <dataValidation type="list" allowBlank="1" showInputMessage="1" showErrorMessage="1" sqref="E76" xr:uid="{00000000-0002-0000-1C00-000000000000}">
      <formula1>".,ja,nein"</formula1>
    </dataValidation>
  </dataValidations>
  <pageMargins left="0.70866141732283472" right="0.70866141732283472" top="0.8666666666666667" bottom="0.78740157480314965" header="0.31496062992125984" footer="0.31496062992125984"/>
  <pageSetup paperSize="9" scale="84" orientation="landscape" r:id="rId1"/>
  <headerFooter>
    <oddHeader>&amp;L&amp;"Arial,Fett"&amp;U9. Berechnung des Kinderzuschlags:&amp;R&amp;D</oddHeader>
    <oddFooter>&amp;R&amp;P</oddFooter>
  </headerFooter>
  <rowBreaks count="1" manualBreakCount="1">
    <brk id="4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5" r:id="rId4" name="Button 3">
              <controlPr defaultSize="0" print="0" autoFill="0" autoPict="0" macro="[0]!Tabelle14.eAkte">
                <anchor moveWithCells="1" sizeWithCells="1">
                  <from>
                    <xdr:col>5</xdr:col>
                    <xdr:colOff>552450</xdr:colOff>
                    <xdr:row>85</xdr:row>
                    <xdr:rowOff>114300</xdr:rowOff>
                  </from>
                  <to>
                    <xdr:col>8</xdr:col>
                    <xdr:colOff>514350</xdr:colOff>
                    <xdr:row>88</xdr:row>
                    <xdr:rowOff>142875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5"/>
  <dimension ref="A1:L104"/>
  <sheetViews>
    <sheetView showGridLines="0" zoomScaleNormal="100" workbookViewId="0">
      <selection activeCell="E26" sqref="E26"/>
    </sheetView>
  </sheetViews>
  <sheetFormatPr baseColWidth="10" defaultRowHeight="14.25" x14ac:dyDescent="0.2"/>
  <cols>
    <col min="1" max="1" width="2" style="2" customWidth="1"/>
    <col min="2" max="6" width="11" style="2"/>
    <col min="7" max="7" width="12.25" style="2" customWidth="1"/>
    <col min="8" max="8" width="11" style="2"/>
    <col min="9" max="9" width="11.875" style="2" customWidth="1"/>
    <col min="10" max="16384" width="11" style="2"/>
  </cols>
  <sheetData>
    <row r="1" spans="1:10" ht="15" x14ac:dyDescent="0.25">
      <c r="A1" s="59"/>
      <c r="B1" s="669" t="s">
        <v>534</v>
      </c>
      <c r="C1" s="670"/>
      <c r="D1" s="670"/>
      <c r="E1" s="670"/>
      <c r="F1" s="670"/>
      <c r="G1" s="670"/>
      <c r="H1" s="670"/>
      <c r="I1" s="670"/>
      <c r="J1" s="59"/>
    </row>
    <row r="2" spans="1:10" x14ac:dyDescent="0.2">
      <c r="A2" s="59"/>
      <c r="B2" s="59"/>
      <c r="C2" s="59"/>
      <c r="D2" s="59"/>
      <c r="E2" s="59"/>
      <c r="F2" s="59"/>
      <c r="G2" s="59"/>
      <c r="H2" s="59"/>
      <c r="I2" s="59"/>
    </row>
    <row r="3" spans="1:10" x14ac:dyDescent="0.2">
      <c r="A3" s="59"/>
      <c r="B3" s="671" t="s">
        <v>535</v>
      </c>
      <c r="C3" s="668"/>
      <c r="D3" s="668"/>
      <c r="E3" s="668"/>
      <c r="F3" s="59"/>
      <c r="G3" s="59"/>
      <c r="H3" s="59"/>
      <c r="I3" s="59"/>
    </row>
    <row r="4" spans="1:10" ht="15" x14ac:dyDescent="0.25">
      <c r="A4" s="59"/>
      <c r="B4" s="672"/>
      <c r="C4" s="59"/>
      <c r="D4" s="59"/>
      <c r="E4" s="59"/>
      <c r="F4" s="59"/>
      <c r="G4" s="59"/>
      <c r="H4" s="673"/>
      <c r="I4" s="673"/>
    </row>
    <row r="5" spans="1:10" ht="29.25" x14ac:dyDescent="0.25">
      <c r="B5" s="674" t="s">
        <v>536</v>
      </c>
      <c r="C5" s="1240" t="s">
        <v>537</v>
      </c>
      <c r="D5" s="1240"/>
      <c r="E5" s="675" t="s">
        <v>538</v>
      </c>
      <c r="F5" s="675" t="s">
        <v>539</v>
      </c>
      <c r="G5" s="675" t="s">
        <v>540</v>
      </c>
      <c r="H5" s="1247" t="s">
        <v>560</v>
      </c>
      <c r="I5" s="1248"/>
      <c r="J5" s="103"/>
    </row>
    <row r="6" spans="1:10" x14ac:dyDescent="0.2">
      <c r="B6" s="676" t="s">
        <v>13</v>
      </c>
      <c r="C6" s="1227" t="str">
        <f>'Kiz ab Januar 2025'!D4</f>
        <v xml:space="preserve"> </v>
      </c>
      <c r="D6" s="1227"/>
      <c r="E6" s="677" t="str">
        <f>'Kiz ab Januar 2025'!D5</f>
        <v xml:space="preserve"> </v>
      </c>
      <c r="F6" s="677" t="str">
        <f>'Kiz ab Januar 2025'!D6</f>
        <v xml:space="preserve"> </v>
      </c>
      <c r="G6" s="678">
        <f>IF(C6&lt;&gt;" ",MAX(SUM(C6,-E6,-F6),0),0)</f>
        <v>0</v>
      </c>
      <c r="H6" s="1241">
        <f>IF(C6&lt;&gt;" ",MAX(SUM(C6,-E6),0),0)</f>
        <v>0</v>
      </c>
      <c r="I6" s="1242"/>
    </row>
    <row r="7" spans="1:10" x14ac:dyDescent="0.2">
      <c r="B7" s="676" t="s">
        <v>14</v>
      </c>
      <c r="C7" s="1227" t="str">
        <f>'Kiz ab Januar 2025'!E4</f>
        <v xml:space="preserve"> </v>
      </c>
      <c r="D7" s="1227"/>
      <c r="E7" s="677" t="str">
        <f>'Kiz ab Januar 2025'!E5</f>
        <v xml:space="preserve"> </v>
      </c>
      <c r="F7" s="677" t="str">
        <f>'Kiz ab Januar 2025'!E6</f>
        <v xml:space="preserve"> </v>
      </c>
      <c r="G7" s="678">
        <f>IF(C7&lt;&gt;" ",MAX(SUM(C7,-E7,-F7),0),0)</f>
        <v>0</v>
      </c>
      <c r="H7" s="1241">
        <f t="shared" ref="H7:H20" si="0">IF(C7&lt;&gt;" ",MAX(SUM(C7,-E7),0),0)</f>
        <v>0</v>
      </c>
      <c r="I7" s="1242"/>
    </row>
    <row r="8" spans="1:10" x14ac:dyDescent="0.2">
      <c r="B8" s="676" t="s">
        <v>15</v>
      </c>
      <c r="C8" s="1227" t="str">
        <f>'Kiz ab Januar 2025'!F4</f>
        <v xml:space="preserve"> </v>
      </c>
      <c r="D8" s="1227"/>
      <c r="E8" s="677" t="str">
        <f>'Kiz ab Januar 2025'!F5</f>
        <v xml:space="preserve"> </v>
      </c>
      <c r="F8" s="677" t="str">
        <f>'Kiz ab Januar 2025'!F6</f>
        <v xml:space="preserve"> </v>
      </c>
      <c r="G8" s="678">
        <f>IF(C8&lt;&gt;" ",MAX(SUM(C8,-E8,-F8),0),0)</f>
        <v>0</v>
      </c>
      <c r="H8" s="1241">
        <f t="shared" si="0"/>
        <v>0</v>
      </c>
      <c r="I8" s="1242"/>
    </row>
    <row r="9" spans="1:10" x14ac:dyDescent="0.2">
      <c r="B9" s="676" t="s">
        <v>16</v>
      </c>
      <c r="C9" s="1227" t="str">
        <f>'Kiz ab Januar 2025'!G4</f>
        <v xml:space="preserve"> </v>
      </c>
      <c r="D9" s="1227"/>
      <c r="E9" s="677" t="str">
        <f>'Kiz ab Januar 2025'!G5</f>
        <v xml:space="preserve"> </v>
      </c>
      <c r="F9" s="677" t="str">
        <f>'Kiz ab Januar 2025'!G6</f>
        <v xml:space="preserve"> </v>
      </c>
      <c r="G9" s="678">
        <f t="shared" ref="G9:G20" si="1">IF(C9&lt;&gt;" ",MAX(SUM(C9,-E9,-F9),0),0)</f>
        <v>0</v>
      </c>
      <c r="H9" s="1241">
        <f t="shared" si="0"/>
        <v>0</v>
      </c>
      <c r="I9" s="1242"/>
    </row>
    <row r="10" spans="1:10" x14ac:dyDescent="0.2">
      <c r="B10" s="676" t="s">
        <v>17</v>
      </c>
      <c r="C10" s="1227" t="str">
        <f>'Kiz ab Januar 2025'!H4</f>
        <v xml:space="preserve"> </v>
      </c>
      <c r="D10" s="1227"/>
      <c r="E10" s="677" t="str">
        <f>'Kiz ab Januar 2025'!H5</f>
        <v xml:space="preserve"> </v>
      </c>
      <c r="F10" s="677" t="str">
        <f>'Kiz ab Januar 2025'!H6</f>
        <v xml:space="preserve"> </v>
      </c>
      <c r="G10" s="678">
        <f t="shared" si="1"/>
        <v>0</v>
      </c>
      <c r="H10" s="1241">
        <f t="shared" si="0"/>
        <v>0</v>
      </c>
      <c r="I10" s="1242"/>
    </row>
    <row r="11" spans="1:10" x14ac:dyDescent="0.2">
      <c r="B11" s="676" t="s">
        <v>18</v>
      </c>
      <c r="C11" s="1227" t="str">
        <f>'Kiz ab Januar 2025'!I4</f>
        <v xml:space="preserve"> </v>
      </c>
      <c r="D11" s="1227"/>
      <c r="E11" s="677" t="str">
        <f>'Kiz ab Januar 2025'!I5</f>
        <v xml:space="preserve"> </v>
      </c>
      <c r="F11" s="677" t="str">
        <f>'Kiz ab Januar 2025'!I6</f>
        <v xml:space="preserve"> </v>
      </c>
      <c r="G11" s="678">
        <f t="shared" si="1"/>
        <v>0</v>
      </c>
      <c r="H11" s="1241">
        <f t="shared" si="0"/>
        <v>0</v>
      </c>
      <c r="I11" s="1242"/>
    </row>
    <row r="12" spans="1:10" x14ac:dyDescent="0.2">
      <c r="B12" s="676" t="s">
        <v>340</v>
      </c>
      <c r="C12" s="1227" t="str">
        <f>'Kiz ab Januar 2025'!J4</f>
        <v xml:space="preserve"> </v>
      </c>
      <c r="D12" s="1227"/>
      <c r="E12" s="677" t="str">
        <f>'Kiz ab Januar 2025'!J5</f>
        <v xml:space="preserve"> </v>
      </c>
      <c r="F12" s="677" t="str">
        <f>'Kiz ab Januar 2025'!J6</f>
        <v xml:space="preserve"> </v>
      </c>
      <c r="G12" s="678">
        <f t="shared" si="1"/>
        <v>0</v>
      </c>
      <c r="H12" s="1241">
        <f t="shared" si="0"/>
        <v>0</v>
      </c>
      <c r="I12" s="1242"/>
    </row>
    <row r="13" spans="1:10" x14ac:dyDescent="0.2">
      <c r="B13" s="676" t="s">
        <v>341</v>
      </c>
      <c r="C13" s="1227" t="str">
        <f>'Kiz ab Januar 2025'!K4</f>
        <v xml:space="preserve"> </v>
      </c>
      <c r="D13" s="1227"/>
      <c r="E13" s="677" t="str">
        <f>'Kiz ab Januar 2025'!K5</f>
        <v xml:space="preserve"> </v>
      </c>
      <c r="F13" s="677" t="str">
        <f>'Kiz ab Januar 2025'!K6</f>
        <v xml:space="preserve"> </v>
      </c>
      <c r="G13" s="678">
        <f t="shared" si="1"/>
        <v>0</v>
      </c>
      <c r="H13" s="1241">
        <f t="shared" si="0"/>
        <v>0</v>
      </c>
      <c r="I13" s="1242"/>
    </row>
    <row r="14" spans="1:10" x14ac:dyDescent="0.2">
      <c r="B14" s="676" t="s">
        <v>342</v>
      </c>
      <c r="C14" s="1227" t="str">
        <f>'Kiz ab Januar 2025'!L4</f>
        <v xml:space="preserve"> </v>
      </c>
      <c r="D14" s="1227"/>
      <c r="E14" s="677" t="str">
        <f>'Kiz ab Januar 2025'!L5</f>
        <v xml:space="preserve"> </v>
      </c>
      <c r="F14" s="677" t="str">
        <f>'Kiz ab Januar 2025'!L6</f>
        <v xml:space="preserve"> </v>
      </c>
      <c r="G14" s="678">
        <f t="shared" si="1"/>
        <v>0</v>
      </c>
      <c r="H14" s="1241">
        <f t="shared" si="0"/>
        <v>0</v>
      </c>
      <c r="I14" s="1242"/>
    </row>
    <row r="15" spans="1:10" x14ac:dyDescent="0.2">
      <c r="B15" s="676" t="s">
        <v>343</v>
      </c>
      <c r="C15" s="1227" t="str">
        <f>'Kiz ab Januar 2025'!M4</f>
        <v xml:space="preserve"> </v>
      </c>
      <c r="D15" s="1227"/>
      <c r="E15" s="677" t="str">
        <f>'Kiz ab Januar 2025'!M5</f>
        <v xml:space="preserve"> </v>
      </c>
      <c r="F15" s="677" t="str">
        <f>'Kiz ab Januar 2025'!M6</f>
        <v xml:space="preserve"> </v>
      </c>
      <c r="G15" s="678">
        <f t="shared" si="1"/>
        <v>0</v>
      </c>
      <c r="H15" s="1241">
        <f t="shared" si="0"/>
        <v>0</v>
      </c>
      <c r="I15" s="1242"/>
    </row>
    <row r="16" spans="1:10" x14ac:dyDescent="0.2">
      <c r="B16" s="676" t="s">
        <v>344</v>
      </c>
      <c r="C16" s="1227" t="str">
        <f>'Kiz ab Januar 2025'!D14</f>
        <v xml:space="preserve"> </v>
      </c>
      <c r="D16" s="1227"/>
      <c r="E16" s="677" t="str">
        <f>'Kiz ab Januar 2025'!D15</f>
        <v xml:space="preserve"> </v>
      </c>
      <c r="F16" s="677" t="str">
        <f>'Kiz ab Januar 2025'!D16</f>
        <v xml:space="preserve"> </v>
      </c>
      <c r="G16" s="678">
        <f t="shared" si="1"/>
        <v>0</v>
      </c>
      <c r="H16" s="1241">
        <f t="shared" si="0"/>
        <v>0</v>
      </c>
      <c r="I16" s="1242"/>
    </row>
    <row r="17" spans="1:9" x14ac:dyDescent="0.2">
      <c r="B17" s="676" t="s">
        <v>345</v>
      </c>
      <c r="C17" s="1227" t="str">
        <f>'Kiz ab Januar 2025'!E14</f>
        <v xml:space="preserve"> </v>
      </c>
      <c r="D17" s="1227"/>
      <c r="E17" s="677" t="str">
        <f>'Kiz ab Januar 2025'!E15</f>
        <v xml:space="preserve"> </v>
      </c>
      <c r="F17" s="677" t="str">
        <f>'Kiz ab Januar 2025'!E16</f>
        <v xml:space="preserve"> </v>
      </c>
      <c r="G17" s="678">
        <f t="shared" si="1"/>
        <v>0</v>
      </c>
      <c r="H17" s="1241">
        <f t="shared" si="0"/>
        <v>0</v>
      </c>
      <c r="I17" s="1242"/>
    </row>
    <row r="18" spans="1:9" x14ac:dyDescent="0.2">
      <c r="B18" s="676" t="s">
        <v>378</v>
      </c>
      <c r="C18" s="1227" t="str">
        <f>'Kiz ab Januar 2025'!F14</f>
        <v xml:space="preserve"> </v>
      </c>
      <c r="D18" s="1227"/>
      <c r="E18" s="677" t="str">
        <f>'Kiz ab Januar 2025'!F15</f>
        <v xml:space="preserve"> </v>
      </c>
      <c r="F18" s="677" t="str">
        <f>'Kiz ab Januar 2025'!F16</f>
        <v xml:space="preserve"> </v>
      </c>
      <c r="G18" s="678">
        <f t="shared" si="1"/>
        <v>0</v>
      </c>
      <c r="H18" s="1241">
        <f t="shared" si="0"/>
        <v>0</v>
      </c>
      <c r="I18" s="1242"/>
    </row>
    <row r="19" spans="1:9" x14ac:dyDescent="0.2">
      <c r="B19" s="676" t="s">
        <v>379</v>
      </c>
      <c r="C19" s="1227" t="str">
        <f>'Kiz ab Januar 2025'!G14</f>
        <v xml:space="preserve"> </v>
      </c>
      <c r="D19" s="1227"/>
      <c r="E19" s="677" t="str">
        <f>'Kiz ab Januar 2025'!G15</f>
        <v xml:space="preserve"> </v>
      </c>
      <c r="F19" s="677" t="str">
        <f>'Kiz ab Januar 2025'!G16</f>
        <v xml:space="preserve"> </v>
      </c>
      <c r="G19" s="678">
        <f t="shared" si="1"/>
        <v>0</v>
      </c>
      <c r="H19" s="1241">
        <f t="shared" si="0"/>
        <v>0</v>
      </c>
      <c r="I19" s="1242"/>
    </row>
    <row r="20" spans="1:9" x14ac:dyDescent="0.2">
      <c r="B20" s="676" t="s">
        <v>380</v>
      </c>
      <c r="C20" s="1227" t="str">
        <f>'Kiz ab Januar 2025'!H14</f>
        <v xml:space="preserve"> </v>
      </c>
      <c r="D20" s="1227"/>
      <c r="E20" s="677" t="str">
        <f>'Kiz ab Januar 2025'!H15</f>
        <v xml:space="preserve"> </v>
      </c>
      <c r="F20" s="677" t="str">
        <f>'Kiz ab Januar 2025'!H16</f>
        <v xml:space="preserve"> </v>
      </c>
      <c r="G20" s="678">
        <f t="shared" si="1"/>
        <v>0</v>
      </c>
      <c r="H20" s="1241">
        <f t="shared" si="0"/>
        <v>0</v>
      </c>
      <c r="I20" s="1242"/>
    </row>
    <row r="21" spans="1:9" ht="15" x14ac:dyDescent="0.25">
      <c r="A21" s="59"/>
      <c r="B21" s="679"/>
      <c r="C21" s="680"/>
      <c r="D21" s="680"/>
      <c r="E21" s="681"/>
      <c r="F21" s="682" t="s">
        <v>84</v>
      </c>
      <c r="G21" s="678">
        <f>SUM(G6:G20)</f>
        <v>0</v>
      </c>
      <c r="H21" s="683"/>
      <c r="I21" s="68">
        <f>SUM(H6:I20)</f>
        <v>0</v>
      </c>
    </row>
    <row r="22" spans="1:9" x14ac:dyDescent="0.2">
      <c r="A22" s="59"/>
      <c r="B22" s="668"/>
      <c r="C22" s="59"/>
      <c r="D22" s="59"/>
      <c r="E22" s="59"/>
      <c r="F22" s="670"/>
      <c r="G22" s="59"/>
      <c r="H22" s="59"/>
      <c r="I22" s="670"/>
    </row>
    <row r="23" spans="1:9" x14ac:dyDescent="0.2">
      <c r="A23" s="59"/>
      <c r="B23" s="671" t="s">
        <v>541</v>
      </c>
      <c r="C23" s="59"/>
      <c r="D23" s="59"/>
      <c r="E23" s="59"/>
      <c r="F23" s="59"/>
      <c r="G23" s="59"/>
      <c r="H23" s="59"/>
      <c r="I23" s="59"/>
    </row>
    <row r="24" spans="1:9" ht="15" x14ac:dyDescent="0.25">
      <c r="A24" s="59"/>
      <c r="B24" s="672"/>
      <c r="C24" s="59"/>
      <c r="D24" s="59"/>
      <c r="E24" s="59"/>
      <c r="F24" s="59"/>
      <c r="G24" s="59"/>
      <c r="H24" s="59"/>
      <c r="I24" s="59"/>
    </row>
    <row r="25" spans="1:9" ht="29.25" x14ac:dyDescent="0.25">
      <c r="B25" s="674" t="s">
        <v>536</v>
      </c>
      <c r="C25" s="1240" t="s">
        <v>542</v>
      </c>
      <c r="D25" s="1240"/>
      <c r="E25" s="684" t="s">
        <v>543</v>
      </c>
      <c r="F25" s="1245" t="s">
        <v>544</v>
      </c>
      <c r="G25" s="1245"/>
      <c r="H25" s="685" t="s">
        <v>563</v>
      </c>
      <c r="I25" s="686" t="s">
        <v>565</v>
      </c>
    </row>
    <row r="26" spans="1:9" x14ac:dyDescent="0.2">
      <c r="B26" s="687" t="s">
        <v>13</v>
      </c>
      <c r="C26" s="1233">
        <f>G6</f>
        <v>0</v>
      </c>
      <c r="D26" s="1234"/>
      <c r="E26" s="726"/>
      <c r="F26" s="1235" t="e">
        <f t="shared" ref="F26:F40" si="2">C26*100/$C$43</f>
        <v>#DIV/0!</v>
      </c>
      <c r="G26" s="1235"/>
      <c r="H26" s="688">
        <f>H6</f>
        <v>0</v>
      </c>
      <c r="I26" s="689" t="e">
        <f>H26*100/G43</f>
        <v>#DIV/0!</v>
      </c>
    </row>
    <row r="27" spans="1:9" x14ac:dyDescent="0.2">
      <c r="B27" s="690" t="s">
        <v>14</v>
      </c>
      <c r="C27" s="1233">
        <f>G7</f>
        <v>0</v>
      </c>
      <c r="D27" s="1234"/>
      <c r="E27" s="117"/>
      <c r="F27" s="1235" t="e">
        <f t="shared" si="2"/>
        <v>#DIV/0!</v>
      </c>
      <c r="G27" s="1235"/>
      <c r="H27" s="688">
        <f>H7</f>
        <v>0</v>
      </c>
      <c r="I27" s="689" t="e">
        <f>H27*100/G43</f>
        <v>#DIV/0!</v>
      </c>
    </row>
    <row r="28" spans="1:9" x14ac:dyDescent="0.2">
      <c r="B28" s="690" t="s">
        <v>15</v>
      </c>
      <c r="C28" s="1233">
        <f t="shared" ref="C28:C40" si="3">G8</f>
        <v>0</v>
      </c>
      <c r="D28" s="1234"/>
      <c r="E28" s="117"/>
      <c r="F28" s="1235" t="e">
        <f t="shared" si="2"/>
        <v>#DIV/0!</v>
      </c>
      <c r="G28" s="1235"/>
      <c r="H28" s="691">
        <f t="shared" ref="H28:H40" si="4">H8</f>
        <v>0</v>
      </c>
      <c r="I28" s="692" t="e">
        <f>H28*100/G43</f>
        <v>#DIV/0!</v>
      </c>
    </row>
    <row r="29" spans="1:9" x14ac:dyDescent="0.2">
      <c r="B29" s="690" t="s">
        <v>16</v>
      </c>
      <c r="C29" s="1233">
        <f t="shared" si="3"/>
        <v>0</v>
      </c>
      <c r="D29" s="1234"/>
      <c r="E29" s="117"/>
      <c r="F29" s="1235" t="e">
        <f t="shared" si="2"/>
        <v>#DIV/0!</v>
      </c>
      <c r="G29" s="1235"/>
      <c r="H29" s="688">
        <f t="shared" si="4"/>
        <v>0</v>
      </c>
      <c r="I29" s="689" t="e">
        <f t="shared" ref="I29" si="5">H29*100/G46</f>
        <v>#DIV/0!</v>
      </c>
    </row>
    <row r="30" spans="1:9" x14ac:dyDescent="0.2">
      <c r="B30" s="690" t="s">
        <v>17</v>
      </c>
      <c r="C30" s="1233">
        <f t="shared" si="3"/>
        <v>0</v>
      </c>
      <c r="D30" s="1234"/>
      <c r="E30" s="117"/>
      <c r="F30" s="1235" t="e">
        <f t="shared" si="2"/>
        <v>#DIV/0!</v>
      </c>
      <c r="G30" s="1235"/>
      <c r="H30" s="688">
        <f t="shared" si="4"/>
        <v>0</v>
      </c>
      <c r="I30" s="689" t="e">
        <f>H30*100/G43</f>
        <v>#DIV/0!</v>
      </c>
    </row>
    <row r="31" spans="1:9" x14ac:dyDescent="0.2">
      <c r="B31" s="690" t="s">
        <v>18</v>
      </c>
      <c r="C31" s="1233">
        <f t="shared" si="3"/>
        <v>0</v>
      </c>
      <c r="D31" s="1234"/>
      <c r="E31" s="117"/>
      <c r="F31" s="1235" t="e">
        <f t="shared" si="2"/>
        <v>#DIV/0!</v>
      </c>
      <c r="G31" s="1235"/>
      <c r="H31" s="688">
        <f t="shared" si="4"/>
        <v>0</v>
      </c>
      <c r="I31" s="689" t="e">
        <f>H31*100/G43</f>
        <v>#DIV/0!</v>
      </c>
    </row>
    <row r="32" spans="1:9" x14ac:dyDescent="0.2">
      <c r="B32" s="690" t="s">
        <v>340</v>
      </c>
      <c r="C32" s="1233">
        <f t="shared" si="3"/>
        <v>0</v>
      </c>
      <c r="D32" s="1234"/>
      <c r="E32" s="117"/>
      <c r="F32" s="1235" t="e">
        <f t="shared" si="2"/>
        <v>#DIV/0!</v>
      </c>
      <c r="G32" s="1235"/>
      <c r="H32" s="688">
        <f t="shared" si="4"/>
        <v>0</v>
      </c>
      <c r="I32" s="689" t="e">
        <f>H32*100/G43</f>
        <v>#DIV/0!</v>
      </c>
    </row>
    <row r="33" spans="1:11" x14ac:dyDescent="0.2">
      <c r="B33" s="690" t="s">
        <v>341</v>
      </c>
      <c r="C33" s="1233">
        <f t="shared" si="3"/>
        <v>0</v>
      </c>
      <c r="D33" s="1234"/>
      <c r="E33" s="117"/>
      <c r="F33" s="1235" t="e">
        <f t="shared" si="2"/>
        <v>#DIV/0!</v>
      </c>
      <c r="G33" s="1235"/>
      <c r="H33" s="693">
        <f t="shared" si="4"/>
        <v>0</v>
      </c>
      <c r="I33" s="694" t="e">
        <f>H33*100/G43</f>
        <v>#DIV/0!</v>
      </c>
    </row>
    <row r="34" spans="1:11" x14ac:dyDescent="0.2">
      <c r="B34" s="690" t="s">
        <v>342</v>
      </c>
      <c r="C34" s="1233">
        <f t="shared" si="3"/>
        <v>0</v>
      </c>
      <c r="D34" s="1234"/>
      <c r="E34" s="117"/>
      <c r="F34" s="1235" t="e">
        <f t="shared" si="2"/>
        <v>#DIV/0!</v>
      </c>
      <c r="G34" s="1235"/>
      <c r="H34" s="695">
        <f t="shared" si="4"/>
        <v>0</v>
      </c>
      <c r="I34" s="694" t="e">
        <f>H34*100/G43</f>
        <v>#DIV/0!</v>
      </c>
    </row>
    <row r="35" spans="1:11" ht="15" x14ac:dyDescent="0.25">
      <c r="B35" s="690" t="s">
        <v>343</v>
      </c>
      <c r="C35" s="1233">
        <f t="shared" si="3"/>
        <v>0</v>
      </c>
      <c r="D35" s="1234"/>
      <c r="E35" s="117"/>
      <c r="F35" s="1235" t="e">
        <f t="shared" si="2"/>
        <v>#DIV/0!</v>
      </c>
      <c r="G35" s="1235"/>
      <c r="H35" s="695">
        <f t="shared" si="4"/>
        <v>0</v>
      </c>
      <c r="I35" s="694" t="e">
        <f>H35*100/G43</f>
        <v>#DIV/0!</v>
      </c>
      <c r="K35" s="696"/>
    </row>
    <row r="36" spans="1:11" x14ac:dyDescent="0.2">
      <c r="B36" s="690" t="s">
        <v>344</v>
      </c>
      <c r="C36" s="1233">
        <f t="shared" si="3"/>
        <v>0</v>
      </c>
      <c r="D36" s="1234"/>
      <c r="E36" s="117"/>
      <c r="F36" s="1235" t="e">
        <f t="shared" si="2"/>
        <v>#DIV/0!</v>
      </c>
      <c r="G36" s="1235"/>
      <c r="H36" s="695">
        <f t="shared" si="4"/>
        <v>0</v>
      </c>
      <c r="I36" s="694" t="e">
        <f>H36*100/G43</f>
        <v>#DIV/0!</v>
      </c>
      <c r="K36" s="697"/>
    </row>
    <row r="37" spans="1:11" x14ac:dyDescent="0.2">
      <c r="B37" s="690" t="s">
        <v>345</v>
      </c>
      <c r="C37" s="1233">
        <f t="shared" si="3"/>
        <v>0</v>
      </c>
      <c r="D37" s="1234"/>
      <c r="E37" s="117"/>
      <c r="F37" s="1235" t="e">
        <f t="shared" si="2"/>
        <v>#DIV/0!</v>
      </c>
      <c r="G37" s="1235"/>
      <c r="H37" s="688">
        <f t="shared" si="4"/>
        <v>0</v>
      </c>
      <c r="I37" s="689" t="e">
        <f>H37*100/G43</f>
        <v>#DIV/0!</v>
      </c>
      <c r="K37" s="697"/>
    </row>
    <row r="38" spans="1:11" x14ac:dyDescent="0.2">
      <c r="B38" s="690" t="s">
        <v>378</v>
      </c>
      <c r="C38" s="1233">
        <f t="shared" si="3"/>
        <v>0</v>
      </c>
      <c r="D38" s="1234"/>
      <c r="E38" s="117"/>
      <c r="F38" s="1235" t="e">
        <f t="shared" si="2"/>
        <v>#DIV/0!</v>
      </c>
      <c r="G38" s="1235"/>
      <c r="H38" s="693">
        <f t="shared" si="4"/>
        <v>0</v>
      </c>
      <c r="I38" s="689" t="e">
        <f>H38*100/G43</f>
        <v>#DIV/0!</v>
      </c>
      <c r="K38" s="697"/>
    </row>
    <row r="39" spans="1:11" x14ac:dyDescent="0.2">
      <c r="B39" s="690" t="s">
        <v>379</v>
      </c>
      <c r="C39" s="1233">
        <f t="shared" si="3"/>
        <v>0</v>
      </c>
      <c r="D39" s="1234"/>
      <c r="E39" s="117"/>
      <c r="F39" s="1235" t="e">
        <f t="shared" si="2"/>
        <v>#DIV/0!</v>
      </c>
      <c r="G39" s="1235"/>
      <c r="H39" s="695">
        <f t="shared" si="4"/>
        <v>0</v>
      </c>
      <c r="I39" s="689" t="e">
        <f>H39*100/G43</f>
        <v>#DIV/0!</v>
      </c>
      <c r="K39" s="697"/>
    </row>
    <row r="40" spans="1:11" x14ac:dyDescent="0.2">
      <c r="B40" s="690" t="s">
        <v>380</v>
      </c>
      <c r="C40" s="1233">
        <f t="shared" si="3"/>
        <v>0</v>
      </c>
      <c r="D40" s="1234"/>
      <c r="E40" s="117"/>
      <c r="F40" s="1235" t="e">
        <f t="shared" si="2"/>
        <v>#DIV/0!</v>
      </c>
      <c r="G40" s="1235"/>
      <c r="H40" s="688">
        <f t="shared" si="4"/>
        <v>0</v>
      </c>
      <c r="I40" s="689" t="e">
        <f>H40*100/G43</f>
        <v>#DIV/0!</v>
      </c>
    </row>
    <row r="41" spans="1:11" x14ac:dyDescent="0.2">
      <c r="A41" s="59"/>
      <c r="B41" s="698"/>
      <c r="C41" s="59"/>
      <c r="D41" s="59"/>
      <c r="E41" s="59"/>
      <c r="F41" s="59"/>
      <c r="G41" s="59"/>
      <c r="H41" s="59"/>
      <c r="I41" s="670"/>
    </row>
    <row r="42" spans="1:11" x14ac:dyDescent="0.2">
      <c r="A42" s="59"/>
      <c r="B42" s="671" t="s">
        <v>545</v>
      </c>
      <c r="C42" s="59"/>
      <c r="D42" s="59"/>
      <c r="E42" s="59"/>
      <c r="F42" s="59"/>
      <c r="G42" s="59"/>
      <c r="H42" s="59"/>
      <c r="I42" s="59"/>
    </row>
    <row r="43" spans="1:11" x14ac:dyDescent="0.2">
      <c r="A43" s="59"/>
      <c r="B43" s="698"/>
      <c r="C43" s="699">
        <f>SUM(C26:D40)</f>
        <v>0</v>
      </c>
      <c r="D43" s="59"/>
      <c r="E43" s="59"/>
      <c r="F43" s="59" t="s">
        <v>562</v>
      </c>
      <c r="G43" s="700">
        <f>SUM(H26:H40)</f>
        <v>0</v>
      </c>
      <c r="H43" s="59"/>
      <c r="I43" s="59"/>
    </row>
    <row r="44" spans="1:11" x14ac:dyDescent="0.2">
      <c r="A44" s="59"/>
      <c r="B44" s="698"/>
      <c r="C44" s="110"/>
      <c r="D44" s="59"/>
      <c r="E44" s="59"/>
      <c r="F44" s="59"/>
      <c r="G44" s="59"/>
      <c r="H44" s="59"/>
      <c r="I44" s="59"/>
    </row>
    <row r="45" spans="1:11" x14ac:dyDescent="0.2">
      <c r="A45" s="59"/>
      <c r="B45" s="671" t="s">
        <v>546</v>
      </c>
      <c r="C45" s="59"/>
      <c r="D45" s="59"/>
      <c r="E45" s="59"/>
      <c r="F45" s="59"/>
      <c r="G45" s="59"/>
      <c r="H45" s="59"/>
      <c r="I45" s="59"/>
    </row>
    <row r="46" spans="1:11" x14ac:dyDescent="0.2">
      <c r="A46" s="59"/>
      <c r="B46" s="698"/>
      <c r="C46" s="701">
        <f>SUM('Kiz ab Januar 2025'!K52,'Kiz ab Januar 2025'!K56,'Kiz ab Januar 2025'!K61)</f>
        <v>0</v>
      </c>
      <c r="D46" s="103"/>
      <c r="E46" s="59"/>
      <c r="F46" s="59" t="s">
        <v>562</v>
      </c>
      <c r="G46" s="110">
        <f>SUM('Kiz ab Januar 2025'!K52,'Kiz ab Januar 2025'!K56)</f>
        <v>0</v>
      </c>
      <c r="H46" s="59" t="s">
        <v>566</v>
      </c>
      <c r="I46" s="59"/>
    </row>
    <row r="47" spans="1:11" x14ac:dyDescent="0.2">
      <c r="A47" s="59"/>
      <c r="B47" s="698"/>
      <c r="C47" s="110"/>
      <c r="D47" s="59"/>
      <c r="E47" s="59"/>
      <c r="F47" s="59"/>
      <c r="G47" s="670"/>
      <c r="H47" s="59"/>
      <c r="I47" s="59"/>
    </row>
    <row r="48" spans="1:11" x14ac:dyDescent="0.2">
      <c r="A48" s="59"/>
      <c r="B48" s="671" t="s">
        <v>547</v>
      </c>
      <c r="C48" s="110"/>
      <c r="D48" s="59"/>
      <c r="E48" s="59"/>
      <c r="F48" s="59"/>
      <c r="G48" s="59"/>
      <c r="H48" s="59"/>
      <c r="I48" s="59"/>
    </row>
    <row r="49" spans="1:9" x14ac:dyDescent="0.2">
      <c r="A49" s="59"/>
      <c r="B49" s="59"/>
      <c r="C49" s="699">
        <f>C43-C46</f>
        <v>0</v>
      </c>
      <c r="D49" s="59"/>
      <c r="E49" s="59"/>
      <c r="F49" s="59" t="s">
        <v>562</v>
      </c>
      <c r="G49" s="110">
        <f>G43-G46</f>
        <v>0</v>
      </c>
      <c r="H49" s="59"/>
      <c r="I49" s="59"/>
    </row>
    <row r="50" spans="1:9" x14ac:dyDescent="0.2">
      <c r="A50" s="59"/>
      <c r="B50" s="671" t="s">
        <v>548</v>
      </c>
      <c r="C50" s="110"/>
      <c r="D50" s="59"/>
      <c r="E50" s="59"/>
      <c r="F50" s="59"/>
      <c r="G50" s="670"/>
      <c r="H50" s="59"/>
      <c r="I50" s="59"/>
    </row>
    <row r="51" spans="1:9" x14ac:dyDescent="0.2">
      <c r="A51" s="59"/>
      <c r="B51" s="59"/>
      <c r="C51" s="699">
        <f>ROUND(C49,0)</f>
        <v>0</v>
      </c>
      <c r="D51" s="59"/>
      <c r="E51" s="59"/>
      <c r="F51" s="59" t="s">
        <v>562</v>
      </c>
      <c r="G51" s="699">
        <f>ROUND(G49,0)</f>
        <v>0</v>
      </c>
      <c r="H51" s="59"/>
      <c r="I51" s="59"/>
    </row>
    <row r="52" spans="1:9" x14ac:dyDescent="0.2">
      <c r="A52" s="59"/>
      <c r="B52" s="59"/>
      <c r="C52" s="110"/>
      <c r="D52" s="59"/>
      <c r="E52" s="59"/>
      <c r="F52" s="59"/>
      <c r="G52" s="59"/>
      <c r="H52" s="59"/>
      <c r="I52" s="59"/>
    </row>
    <row r="53" spans="1:9" x14ac:dyDescent="0.2">
      <c r="A53" s="59"/>
      <c r="B53" s="702" t="s">
        <v>549</v>
      </c>
      <c r="C53" s="59"/>
      <c r="D53" s="59"/>
      <c r="E53" s="59"/>
      <c r="F53" s="59"/>
      <c r="G53" s="59"/>
      <c r="H53" s="59"/>
      <c r="I53" s="703"/>
    </row>
    <row r="54" spans="1:9" ht="15" x14ac:dyDescent="0.25">
      <c r="A54" s="59"/>
      <c r="B54" s="704"/>
      <c r="C54" s="59"/>
      <c r="D54" s="59"/>
      <c r="E54" s="59"/>
      <c r="F54" s="673"/>
      <c r="G54" s="673"/>
      <c r="H54" s="673"/>
      <c r="I54" s="59"/>
    </row>
    <row r="55" spans="1:9" ht="15" x14ac:dyDescent="0.25">
      <c r="B55" s="705" t="s">
        <v>536</v>
      </c>
      <c r="C55" s="1246" t="s">
        <v>550</v>
      </c>
      <c r="D55" s="1246"/>
      <c r="E55" s="1246"/>
      <c r="F55" s="1252" t="s">
        <v>564</v>
      </c>
      <c r="G55" s="1253"/>
      <c r="H55" s="1254"/>
      <c r="I55" s="59"/>
    </row>
    <row r="56" spans="1:9" x14ac:dyDescent="0.2">
      <c r="B56" s="706" t="s">
        <v>13</v>
      </c>
      <c r="C56" s="1243" t="e">
        <f t="shared" ref="C56:C70" si="6">$C$46*C26/$C$43</f>
        <v>#DIV/0!</v>
      </c>
      <c r="D56" s="1243"/>
      <c r="E56" s="1243"/>
      <c r="F56" s="1236" t="e">
        <f>$G$46*H26/$G$43</f>
        <v>#DIV/0!</v>
      </c>
      <c r="G56" s="1237"/>
      <c r="H56" s="1238"/>
      <c r="I56" s="707" t="e">
        <f>SUM(H26-F56)</f>
        <v>#DIV/0!</v>
      </c>
    </row>
    <row r="57" spans="1:9" x14ac:dyDescent="0.2">
      <c r="B57" s="706" t="s">
        <v>14</v>
      </c>
      <c r="C57" s="1243" t="e">
        <f t="shared" si="6"/>
        <v>#DIV/0!</v>
      </c>
      <c r="D57" s="1243"/>
      <c r="E57" s="1243"/>
      <c r="F57" s="1249" t="e">
        <f t="shared" ref="F57:F70" si="7">$G$46*H27/$G$43</f>
        <v>#DIV/0!</v>
      </c>
      <c r="G57" s="1250"/>
      <c r="H57" s="1251"/>
      <c r="I57" s="707" t="e">
        <f t="shared" ref="I57:I70" si="8">SUM(H27-F57)</f>
        <v>#DIV/0!</v>
      </c>
    </row>
    <row r="58" spans="1:9" x14ac:dyDescent="0.2">
      <c r="B58" s="706" t="s">
        <v>15</v>
      </c>
      <c r="C58" s="1243" t="e">
        <f t="shared" si="6"/>
        <v>#DIV/0!</v>
      </c>
      <c r="D58" s="1243"/>
      <c r="E58" s="1243"/>
      <c r="F58" s="1236" t="e">
        <f t="shared" si="7"/>
        <v>#DIV/0!</v>
      </c>
      <c r="G58" s="1237"/>
      <c r="H58" s="1238"/>
      <c r="I58" s="707" t="e">
        <f>SUM(H28-F58)</f>
        <v>#DIV/0!</v>
      </c>
    </row>
    <row r="59" spans="1:9" x14ac:dyDescent="0.2">
      <c r="B59" s="706" t="s">
        <v>16</v>
      </c>
      <c r="C59" s="1243" t="e">
        <f t="shared" si="6"/>
        <v>#DIV/0!</v>
      </c>
      <c r="D59" s="1243"/>
      <c r="E59" s="1243"/>
      <c r="F59" s="1255" t="e">
        <f t="shared" si="7"/>
        <v>#DIV/0!</v>
      </c>
      <c r="G59" s="1256"/>
      <c r="H59" s="1257"/>
      <c r="I59" s="707" t="e">
        <f t="shared" si="8"/>
        <v>#DIV/0!</v>
      </c>
    </row>
    <row r="60" spans="1:9" x14ac:dyDescent="0.2">
      <c r="B60" s="706" t="s">
        <v>17</v>
      </c>
      <c r="C60" s="1243" t="e">
        <f t="shared" si="6"/>
        <v>#DIV/0!</v>
      </c>
      <c r="D60" s="1243"/>
      <c r="E60" s="1243"/>
      <c r="F60" s="1249" t="e">
        <f t="shared" si="7"/>
        <v>#DIV/0!</v>
      </c>
      <c r="G60" s="1250"/>
      <c r="H60" s="1251"/>
      <c r="I60" s="707" t="e">
        <f t="shared" si="8"/>
        <v>#DIV/0!</v>
      </c>
    </row>
    <row r="61" spans="1:9" x14ac:dyDescent="0.2">
      <c r="B61" s="706" t="s">
        <v>18</v>
      </c>
      <c r="C61" s="1243" t="e">
        <f t="shared" si="6"/>
        <v>#DIV/0!</v>
      </c>
      <c r="D61" s="1243"/>
      <c r="E61" s="1243"/>
      <c r="F61" s="1236" t="e">
        <f t="shared" si="7"/>
        <v>#DIV/0!</v>
      </c>
      <c r="G61" s="1237"/>
      <c r="H61" s="1238"/>
      <c r="I61" s="707" t="e">
        <f t="shared" si="8"/>
        <v>#DIV/0!</v>
      </c>
    </row>
    <row r="62" spans="1:9" x14ac:dyDescent="0.2">
      <c r="B62" s="706" t="s">
        <v>340</v>
      </c>
      <c r="C62" s="1243" t="e">
        <f t="shared" si="6"/>
        <v>#DIV/0!</v>
      </c>
      <c r="D62" s="1243"/>
      <c r="E62" s="1243"/>
      <c r="F62" s="1249" t="e">
        <f t="shared" si="7"/>
        <v>#DIV/0!</v>
      </c>
      <c r="G62" s="1250"/>
      <c r="H62" s="1251"/>
      <c r="I62" s="707" t="e">
        <f t="shared" si="8"/>
        <v>#DIV/0!</v>
      </c>
    </row>
    <row r="63" spans="1:9" x14ac:dyDescent="0.2">
      <c r="B63" s="706" t="s">
        <v>341</v>
      </c>
      <c r="C63" s="1243" t="e">
        <f t="shared" si="6"/>
        <v>#DIV/0!</v>
      </c>
      <c r="D63" s="1243"/>
      <c r="E63" s="1243"/>
      <c r="F63" s="1236" t="e">
        <f t="shared" si="7"/>
        <v>#DIV/0!</v>
      </c>
      <c r="G63" s="1237"/>
      <c r="H63" s="1238"/>
      <c r="I63" s="707" t="e">
        <f t="shared" si="8"/>
        <v>#DIV/0!</v>
      </c>
    </row>
    <row r="64" spans="1:9" x14ac:dyDescent="0.2">
      <c r="B64" s="706" t="s">
        <v>342</v>
      </c>
      <c r="C64" s="1243" t="e">
        <f t="shared" si="6"/>
        <v>#DIV/0!</v>
      </c>
      <c r="D64" s="1243"/>
      <c r="E64" s="1243"/>
      <c r="F64" s="1236" t="e">
        <f t="shared" si="7"/>
        <v>#DIV/0!</v>
      </c>
      <c r="G64" s="1237"/>
      <c r="H64" s="1238"/>
      <c r="I64" s="707" t="e">
        <f t="shared" si="8"/>
        <v>#DIV/0!</v>
      </c>
    </row>
    <row r="65" spans="1:9" x14ac:dyDescent="0.2">
      <c r="B65" s="706" t="s">
        <v>343</v>
      </c>
      <c r="C65" s="1243" t="e">
        <f t="shared" si="6"/>
        <v>#DIV/0!</v>
      </c>
      <c r="D65" s="1243"/>
      <c r="E65" s="1243"/>
      <c r="F65" s="1236" t="e">
        <f t="shared" si="7"/>
        <v>#DIV/0!</v>
      </c>
      <c r="G65" s="1237"/>
      <c r="H65" s="1238"/>
      <c r="I65" s="707" t="e">
        <f t="shared" si="8"/>
        <v>#DIV/0!</v>
      </c>
    </row>
    <row r="66" spans="1:9" x14ac:dyDescent="0.2">
      <c r="B66" s="706" t="s">
        <v>344</v>
      </c>
      <c r="C66" s="1243" t="e">
        <f t="shared" si="6"/>
        <v>#DIV/0!</v>
      </c>
      <c r="D66" s="1243"/>
      <c r="E66" s="1243"/>
      <c r="F66" s="1261" t="e">
        <f t="shared" si="7"/>
        <v>#DIV/0!</v>
      </c>
      <c r="G66" s="1262"/>
      <c r="H66" s="1263"/>
      <c r="I66" s="707" t="e">
        <f t="shared" si="8"/>
        <v>#DIV/0!</v>
      </c>
    </row>
    <row r="67" spans="1:9" x14ac:dyDescent="0.2">
      <c r="B67" s="706" t="s">
        <v>345</v>
      </c>
      <c r="C67" s="1243" t="e">
        <f t="shared" si="6"/>
        <v>#DIV/0!</v>
      </c>
      <c r="D67" s="1243"/>
      <c r="E67" s="1243"/>
      <c r="F67" s="1236" t="e">
        <f t="shared" si="7"/>
        <v>#DIV/0!</v>
      </c>
      <c r="G67" s="1237"/>
      <c r="H67" s="1238"/>
      <c r="I67" s="707" t="e">
        <f t="shared" si="8"/>
        <v>#DIV/0!</v>
      </c>
    </row>
    <row r="68" spans="1:9" x14ac:dyDescent="0.2">
      <c r="B68" s="706" t="s">
        <v>378</v>
      </c>
      <c r="C68" s="1243" t="e">
        <f t="shared" si="6"/>
        <v>#DIV/0!</v>
      </c>
      <c r="D68" s="1243"/>
      <c r="E68" s="1243"/>
      <c r="F68" s="1261" t="e">
        <f t="shared" si="7"/>
        <v>#DIV/0!</v>
      </c>
      <c r="G68" s="1262"/>
      <c r="H68" s="1263"/>
      <c r="I68" s="707" t="e">
        <f t="shared" si="8"/>
        <v>#DIV/0!</v>
      </c>
    </row>
    <row r="69" spans="1:9" x14ac:dyDescent="0.2">
      <c r="B69" s="706" t="s">
        <v>379</v>
      </c>
      <c r="C69" s="1243" t="e">
        <f t="shared" si="6"/>
        <v>#DIV/0!</v>
      </c>
      <c r="D69" s="1243"/>
      <c r="E69" s="1243"/>
      <c r="F69" s="1236" t="e">
        <f t="shared" si="7"/>
        <v>#DIV/0!</v>
      </c>
      <c r="G69" s="1237"/>
      <c r="H69" s="1238"/>
      <c r="I69" s="707" t="e">
        <f t="shared" si="8"/>
        <v>#DIV/0!</v>
      </c>
    </row>
    <row r="70" spans="1:9" x14ac:dyDescent="0.2">
      <c r="B70" s="706" t="s">
        <v>380</v>
      </c>
      <c r="C70" s="1243" t="e">
        <f t="shared" si="6"/>
        <v>#DIV/0!</v>
      </c>
      <c r="D70" s="1243"/>
      <c r="E70" s="1243"/>
      <c r="F70" s="1236" t="e">
        <f t="shared" si="7"/>
        <v>#DIV/0!</v>
      </c>
      <c r="G70" s="1237"/>
      <c r="H70" s="1238"/>
      <c r="I70" s="707" t="e">
        <f t="shared" si="8"/>
        <v>#DIV/0!</v>
      </c>
    </row>
    <row r="71" spans="1:9" ht="15" x14ac:dyDescent="0.25">
      <c r="B71" s="708" t="s">
        <v>48</v>
      </c>
      <c r="C71" s="1244" t="e">
        <f>SUM(C56:E70)</f>
        <v>#DIV/0!</v>
      </c>
      <c r="D71" s="1244"/>
      <c r="E71" s="1244"/>
      <c r="F71" s="1264" t="e">
        <f>SUM(F56:H70)</f>
        <v>#DIV/0!</v>
      </c>
      <c r="G71" s="1265"/>
      <c r="H71" s="1266"/>
      <c r="I71" s="59"/>
    </row>
    <row r="72" spans="1:9" x14ac:dyDescent="0.2">
      <c r="A72" s="59"/>
      <c r="B72" s="59"/>
      <c r="C72" s="59"/>
      <c r="D72" s="59"/>
      <c r="E72" s="59"/>
      <c r="F72" s="59"/>
      <c r="G72" s="59"/>
      <c r="H72" s="59"/>
      <c r="I72" s="59"/>
    </row>
    <row r="73" spans="1:9" ht="15" x14ac:dyDescent="0.25">
      <c r="A73" s="59"/>
      <c r="B73" s="709" t="s">
        <v>551</v>
      </c>
      <c r="C73" s="59"/>
      <c r="D73" s="59"/>
      <c r="E73" s="59"/>
      <c r="F73" s="59"/>
      <c r="G73" s="59"/>
      <c r="H73" s="59"/>
      <c r="I73" s="59"/>
    </row>
    <row r="74" spans="1:9" x14ac:dyDescent="0.2">
      <c r="A74" s="59"/>
      <c r="B74" s="59"/>
      <c r="C74" s="59"/>
      <c r="D74" s="59"/>
      <c r="E74" s="59"/>
      <c r="F74" s="59"/>
      <c r="G74" s="59"/>
      <c r="H74" s="673"/>
      <c r="I74" s="59"/>
    </row>
    <row r="75" spans="1:9" ht="30" x14ac:dyDescent="0.2">
      <c r="B75" s="705" t="s">
        <v>536</v>
      </c>
      <c r="C75" s="1274" t="s">
        <v>552</v>
      </c>
      <c r="D75" s="1274"/>
      <c r="E75" s="1274"/>
      <c r="F75" s="1274" t="s">
        <v>553</v>
      </c>
      <c r="G75" s="1274"/>
      <c r="H75" s="710" t="s">
        <v>561</v>
      </c>
      <c r="I75" s="59"/>
    </row>
    <row r="76" spans="1:9" x14ac:dyDescent="0.2">
      <c r="B76" s="706" t="s">
        <v>13</v>
      </c>
      <c r="C76" s="1236" t="e">
        <f t="shared" ref="C76:C90" si="9">C26-C56</f>
        <v>#DIV/0!</v>
      </c>
      <c r="D76" s="1237"/>
      <c r="E76" s="1238"/>
      <c r="F76" s="1239" t="e">
        <f>ROUND(C76,0)</f>
        <v>#DIV/0!</v>
      </c>
      <c r="G76" s="1235"/>
      <c r="H76" s="693" t="e">
        <f>ROUND((H26-F56),0)</f>
        <v>#DIV/0!</v>
      </c>
      <c r="I76" s="59"/>
    </row>
    <row r="77" spans="1:9" x14ac:dyDescent="0.2">
      <c r="B77" s="706" t="s">
        <v>14</v>
      </c>
      <c r="C77" s="1236" t="e">
        <f t="shared" si="9"/>
        <v>#DIV/0!</v>
      </c>
      <c r="D77" s="1237"/>
      <c r="E77" s="1238"/>
      <c r="F77" s="1239" t="e">
        <f t="shared" ref="F77:F90" si="10">ROUND(C77,0)</f>
        <v>#DIV/0!</v>
      </c>
      <c r="G77" s="1235"/>
      <c r="H77" s="688" t="e">
        <f t="shared" ref="H77:H90" si="11">ROUND((H27-F57),0)</f>
        <v>#DIV/0!</v>
      </c>
      <c r="I77" s="59"/>
    </row>
    <row r="78" spans="1:9" x14ac:dyDescent="0.2">
      <c r="B78" s="706" t="s">
        <v>15</v>
      </c>
      <c r="C78" s="1236" t="e">
        <f t="shared" si="9"/>
        <v>#DIV/0!</v>
      </c>
      <c r="D78" s="1237"/>
      <c r="E78" s="1238"/>
      <c r="F78" s="1239" t="e">
        <f t="shared" si="10"/>
        <v>#DIV/0!</v>
      </c>
      <c r="G78" s="1235"/>
      <c r="H78" s="693" t="e">
        <f t="shared" si="11"/>
        <v>#DIV/0!</v>
      </c>
      <c r="I78" s="59"/>
    </row>
    <row r="79" spans="1:9" x14ac:dyDescent="0.2">
      <c r="B79" s="706" t="s">
        <v>16</v>
      </c>
      <c r="C79" s="1236" t="e">
        <f t="shared" si="9"/>
        <v>#DIV/0!</v>
      </c>
      <c r="D79" s="1237"/>
      <c r="E79" s="1238"/>
      <c r="F79" s="1239" t="e">
        <f t="shared" si="10"/>
        <v>#DIV/0!</v>
      </c>
      <c r="G79" s="1235"/>
      <c r="H79" s="688" t="e">
        <f t="shared" si="11"/>
        <v>#DIV/0!</v>
      </c>
      <c r="I79" s="59"/>
    </row>
    <row r="80" spans="1:9" x14ac:dyDescent="0.2">
      <c r="B80" s="706" t="s">
        <v>17</v>
      </c>
      <c r="C80" s="1236" t="e">
        <f t="shared" si="9"/>
        <v>#DIV/0!</v>
      </c>
      <c r="D80" s="1237"/>
      <c r="E80" s="1238"/>
      <c r="F80" s="1239" t="e">
        <f t="shared" si="10"/>
        <v>#DIV/0!</v>
      </c>
      <c r="G80" s="1235"/>
      <c r="H80" s="693" t="e">
        <f t="shared" si="11"/>
        <v>#DIV/0!</v>
      </c>
      <c r="I80" s="59"/>
    </row>
    <row r="81" spans="1:12" x14ac:dyDescent="0.2">
      <c r="B81" s="706" t="s">
        <v>18</v>
      </c>
      <c r="C81" s="1236" t="e">
        <f t="shared" si="9"/>
        <v>#DIV/0!</v>
      </c>
      <c r="D81" s="1237"/>
      <c r="E81" s="1238"/>
      <c r="F81" s="1239" t="e">
        <f t="shared" si="10"/>
        <v>#DIV/0!</v>
      </c>
      <c r="G81" s="1235"/>
      <c r="H81" s="688" t="e">
        <f t="shared" si="11"/>
        <v>#DIV/0!</v>
      </c>
      <c r="I81" s="59"/>
    </row>
    <row r="82" spans="1:12" x14ac:dyDescent="0.2">
      <c r="B82" s="706" t="s">
        <v>340</v>
      </c>
      <c r="C82" s="1236" t="e">
        <f t="shared" si="9"/>
        <v>#DIV/0!</v>
      </c>
      <c r="D82" s="1237"/>
      <c r="E82" s="1238"/>
      <c r="F82" s="1239" t="e">
        <f t="shared" si="10"/>
        <v>#DIV/0!</v>
      </c>
      <c r="G82" s="1235"/>
      <c r="H82" s="693" t="e">
        <f t="shared" si="11"/>
        <v>#DIV/0!</v>
      </c>
      <c r="I82" s="59"/>
      <c r="J82" s="1259" t="s">
        <v>554</v>
      </c>
      <c r="K82" s="1259"/>
      <c r="L82" s="1259"/>
    </row>
    <row r="83" spans="1:12" x14ac:dyDescent="0.2">
      <c r="B83" s="706" t="s">
        <v>341</v>
      </c>
      <c r="C83" s="1236" t="e">
        <f t="shared" si="9"/>
        <v>#DIV/0!</v>
      </c>
      <c r="D83" s="1237"/>
      <c r="E83" s="1238"/>
      <c r="F83" s="1239" t="e">
        <f t="shared" si="10"/>
        <v>#DIV/0!</v>
      </c>
      <c r="G83" s="1235"/>
      <c r="H83" s="688" t="e">
        <f t="shared" si="11"/>
        <v>#DIV/0!</v>
      </c>
      <c r="I83" s="59"/>
      <c r="J83" s="1259"/>
      <c r="K83" s="1259"/>
      <c r="L83" s="1259"/>
    </row>
    <row r="84" spans="1:12" x14ac:dyDescent="0.2">
      <c r="B84" s="706" t="s">
        <v>342</v>
      </c>
      <c r="C84" s="1236" t="e">
        <f t="shared" si="9"/>
        <v>#DIV/0!</v>
      </c>
      <c r="D84" s="1237"/>
      <c r="E84" s="1238"/>
      <c r="F84" s="1239" t="e">
        <f t="shared" si="10"/>
        <v>#DIV/0!</v>
      </c>
      <c r="G84" s="1235"/>
      <c r="H84" s="693" t="e">
        <f t="shared" si="11"/>
        <v>#DIV/0!</v>
      </c>
      <c r="I84" s="59"/>
      <c r="J84" s="1259"/>
      <c r="K84" s="1259"/>
      <c r="L84" s="1259"/>
    </row>
    <row r="85" spans="1:12" ht="14.25" customHeight="1" x14ac:dyDescent="0.2">
      <c r="B85" s="706" t="s">
        <v>343</v>
      </c>
      <c r="C85" s="1236" t="e">
        <f t="shared" si="9"/>
        <v>#DIV/0!</v>
      </c>
      <c r="D85" s="1237"/>
      <c r="E85" s="1238"/>
      <c r="F85" s="1239" t="e">
        <f t="shared" si="10"/>
        <v>#DIV/0!</v>
      </c>
      <c r="G85" s="1235"/>
      <c r="H85" s="688" t="e">
        <f t="shared" si="11"/>
        <v>#DIV/0!</v>
      </c>
      <c r="I85" s="711"/>
      <c r="J85" s="1259"/>
      <c r="K85" s="1259"/>
      <c r="L85" s="1259"/>
    </row>
    <row r="86" spans="1:12" x14ac:dyDescent="0.2">
      <c r="B86" s="706" t="s">
        <v>344</v>
      </c>
      <c r="C86" s="1236" t="e">
        <f t="shared" si="9"/>
        <v>#DIV/0!</v>
      </c>
      <c r="D86" s="1237"/>
      <c r="E86" s="1238"/>
      <c r="F86" s="1239" t="e">
        <f t="shared" si="10"/>
        <v>#DIV/0!</v>
      </c>
      <c r="G86" s="1235"/>
      <c r="H86" s="712" t="e">
        <f t="shared" si="11"/>
        <v>#DIV/0!</v>
      </c>
      <c r="I86" s="711"/>
      <c r="J86" s="1259"/>
      <c r="K86" s="1259"/>
      <c r="L86" s="1259"/>
    </row>
    <row r="87" spans="1:12" x14ac:dyDescent="0.2">
      <c r="B87" s="706" t="s">
        <v>345</v>
      </c>
      <c r="C87" s="1236" t="e">
        <f t="shared" si="9"/>
        <v>#DIV/0!</v>
      </c>
      <c r="D87" s="1237"/>
      <c r="E87" s="1238"/>
      <c r="F87" s="1239" t="e">
        <f t="shared" si="10"/>
        <v>#DIV/0!</v>
      </c>
      <c r="G87" s="1235"/>
      <c r="H87" s="688" t="e">
        <f t="shared" si="11"/>
        <v>#DIV/0!</v>
      </c>
      <c r="I87" s="711"/>
      <c r="J87" s="1259"/>
      <c r="K87" s="1259"/>
      <c r="L87" s="1259"/>
    </row>
    <row r="88" spans="1:12" x14ac:dyDescent="0.2">
      <c r="B88" s="706" t="s">
        <v>378</v>
      </c>
      <c r="C88" s="1236" t="e">
        <f t="shared" si="9"/>
        <v>#DIV/0!</v>
      </c>
      <c r="D88" s="1237"/>
      <c r="E88" s="1238"/>
      <c r="F88" s="1239" t="e">
        <f t="shared" si="10"/>
        <v>#DIV/0!</v>
      </c>
      <c r="G88" s="1235"/>
      <c r="H88" s="695" t="e">
        <f t="shared" si="11"/>
        <v>#DIV/0!</v>
      </c>
      <c r="I88" s="711"/>
      <c r="J88" s="1259"/>
      <c r="K88" s="1259"/>
      <c r="L88" s="1259"/>
    </row>
    <row r="89" spans="1:12" x14ac:dyDescent="0.2">
      <c r="B89" s="706" t="s">
        <v>379</v>
      </c>
      <c r="C89" s="1236" t="e">
        <f t="shared" si="9"/>
        <v>#DIV/0!</v>
      </c>
      <c r="D89" s="1237"/>
      <c r="E89" s="1238"/>
      <c r="F89" s="1239" t="e">
        <f t="shared" si="10"/>
        <v>#DIV/0!</v>
      </c>
      <c r="G89" s="1235"/>
      <c r="H89" s="688" t="e">
        <f t="shared" si="11"/>
        <v>#DIV/0!</v>
      </c>
      <c r="I89" s="711"/>
      <c r="J89" s="1259"/>
      <c r="K89" s="1259"/>
      <c r="L89" s="1259"/>
    </row>
    <row r="90" spans="1:12" x14ac:dyDescent="0.2">
      <c r="B90" s="706" t="s">
        <v>380</v>
      </c>
      <c r="C90" s="1236" t="e">
        <f t="shared" si="9"/>
        <v>#DIV/0!</v>
      </c>
      <c r="D90" s="1237"/>
      <c r="E90" s="1238"/>
      <c r="F90" s="1239" t="e">
        <f t="shared" si="10"/>
        <v>#DIV/0!</v>
      </c>
      <c r="G90" s="1235"/>
      <c r="H90" s="688" t="e">
        <f t="shared" si="11"/>
        <v>#DIV/0!</v>
      </c>
      <c r="I90" s="711"/>
      <c r="J90" s="1259"/>
      <c r="K90" s="1259"/>
      <c r="L90" s="1259"/>
    </row>
    <row r="91" spans="1:12" ht="15" x14ac:dyDescent="0.25">
      <c r="B91" s="713" t="s">
        <v>48</v>
      </c>
      <c r="C91" s="1268" t="e">
        <f>SUM(C76:E90)</f>
        <v>#DIV/0!</v>
      </c>
      <c r="D91" s="1268"/>
      <c r="E91" s="1268"/>
      <c r="F91" s="1269" t="e">
        <f>SUM(F76:G90)</f>
        <v>#DIV/0!</v>
      </c>
      <c r="G91" s="1270"/>
      <c r="H91" s="714" t="e">
        <f>SUM(H76:H90)</f>
        <v>#DIV/0!</v>
      </c>
      <c r="I91" s="711"/>
      <c r="J91" s="1260"/>
      <c r="K91" s="1260"/>
      <c r="L91" s="1260"/>
    </row>
    <row r="92" spans="1:12" x14ac:dyDescent="0.2">
      <c r="A92" s="59"/>
      <c r="B92" s="698"/>
      <c r="C92" s="59"/>
      <c r="D92" s="59"/>
      <c r="E92" s="59"/>
      <c r="F92" s="59"/>
      <c r="G92" s="59"/>
      <c r="H92" s="670"/>
      <c r="I92" s="209"/>
    </row>
    <row r="93" spans="1:12" x14ac:dyDescent="0.2">
      <c r="A93" s="59"/>
      <c r="B93" s="1271" t="s">
        <v>555</v>
      </c>
      <c r="C93" s="1271"/>
      <c r="D93" s="1271"/>
      <c r="E93" s="1271"/>
      <c r="F93" s="1271"/>
      <c r="G93" s="1271"/>
      <c r="H93" s="1271"/>
      <c r="I93" s="1271"/>
    </row>
    <row r="94" spans="1:12" ht="14.25" customHeight="1" x14ac:dyDescent="0.2">
      <c r="A94" s="59"/>
      <c r="B94" s="715"/>
      <c r="C94" s="715"/>
      <c r="D94" s="715"/>
      <c r="E94" s="715"/>
      <c r="F94" s="715"/>
      <c r="G94" s="715"/>
      <c r="H94" s="715"/>
      <c r="I94" s="716"/>
      <c r="J94" s="1228" t="s">
        <v>559</v>
      </c>
      <c r="K94" s="1228"/>
      <c r="L94" s="1228"/>
    </row>
    <row r="95" spans="1:12" ht="15" x14ac:dyDescent="0.25">
      <c r="A95" s="59"/>
      <c r="B95" s="709" t="s">
        <v>556</v>
      </c>
      <c r="C95" s="59"/>
      <c r="D95" s="59"/>
      <c r="E95" s="717"/>
      <c r="F95" s="717"/>
      <c r="G95" s="717"/>
      <c r="H95" s="717"/>
      <c r="I95" s="716"/>
      <c r="J95" s="1228"/>
      <c r="K95" s="1228"/>
      <c r="L95" s="1228"/>
    </row>
    <row r="96" spans="1:12" ht="15" x14ac:dyDescent="0.25">
      <c r="A96" s="59"/>
      <c r="B96" s="59"/>
      <c r="C96" s="709" t="s">
        <v>557</v>
      </c>
      <c r="D96" s="1272" t="s">
        <v>558</v>
      </c>
      <c r="E96" s="1272"/>
      <c r="F96" s="1273" t="str">
        <f>IF(F99="","","nach Verteilung Differenz")</f>
        <v/>
      </c>
      <c r="G96" s="1273"/>
      <c r="H96" s="718"/>
      <c r="I96" s="716"/>
      <c r="J96" s="1228"/>
      <c r="K96" s="1228"/>
      <c r="L96" s="1228"/>
    </row>
    <row r="97" spans="1:12" ht="15" customHeight="1" x14ac:dyDescent="0.2">
      <c r="B97" s="706" t="s">
        <v>130</v>
      </c>
      <c r="C97" s="68">
        <f>SUMIFS($C$76:$C$90,$E$26:$E$40,B97)</f>
        <v>0</v>
      </c>
      <c r="D97" s="1239">
        <f>SUMIFS($F$76:$F$90,$E$26:$E$40,B97)</f>
        <v>0</v>
      </c>
      <c r="E97" s="1235"/>
      <c r="F97" s="1232" t="str">
        <f>IF($D$99&lt;&gt;ROUND($C$99,),IF(C97-D97&gt;C98-D98,ROUNDUP(C97,0),ROUNDDOWN(C97,0)),"")</f>
        <v/>
      </c>
      <c r="G97" s="1232"/>
      <c r="I97" s="716"/>
      <c r="J97" s="1228"/>
      <c r="K97" s="1228"/>
      <c r="L97" s="1228"/>
    </row>
    <row r="98" spans="1:12" x14ac:dyDescent="0.2">
      <c r="B98" s="706" t="s">
        <v>131</v>
      </c>
      <c r="C98" s="68">
        <f>SUMIFS($C$76:$C$90,$E$26:$E$40,B98)</f>
        <v>0</v>
      </c>
      <c r="D98" s="1239">
        <f>SUMIFS($F$76:$F$90,$E$26:$E$40,B98)</f>
        <v>0</v>
      </c>
      <c r="E98" s="1235"/>
      <c r="F98" s="1232" t="str">
        <f>IF($D$99&lt;&gt;ROUND($C$99,),IF(C98-D98&gt;C97-D97,ROUNDUP(C98,0),ROUNDDOWN(C98,0)),"")</f>
        <v/>
      </c>
      <c r="G98" s="1232"/>
      <c r="I98" s="716"/>
      <c r="J98" s="1228"/>
      <c r="K98" s="1228"/>
      <c r="L98" s="1228"/>
    </row>
    <row r="99" spans="1:12" ht="15" x14ac:dyDescent="0.25">
      <c r="B99" s="719" t="s">
        <v>48</v>
      </c>
      <c r="C99" s="720">
        <f>SUM(C97:C98)</f>
        <v>0</v>
      </c>
      <c r="D99" s="1267">
        <f>SUM(D97:D98)</f>
        <v>0</v>
      </c>
      <c r="E99" s="1267"/>
      <c r="F99" s="1225" t="str">
        <f>IF(ROUND(C99,0)&lt;&gt;D99,SUM(F97:F98),"")</f>
        <v/>
      </c>
      <c r="G99" s="1226"/>
      <c r="H99" s="59"/>
      <c r="I99" s="716"/>
      <c r="J99" s="1228"/>
      <c r="K99" s="1228"/>
      <c r="L99" s="1228"/>
    </row>
    <row r="100" spans="1:12" x14ac:dyDescent="0.2">
      <c r="F100" s="59"/>
      <c r="G100" s="59"/>
      <c r="H100" s="59"/>
      <c r="I100" s="716"/>
      <c r="J100" s="1228"/>
      <c r="K100" s="1228"/>
      <c r="L100" s="1228"/>
    </row>
    <row r="101" spans="1:12" ht="15" x14ac:dyDescent="0.25">
      <c r="B101" s="721" t="s">
        <v>561</v>
      </c>
      <c r="C101" s="418" t="s">
        <v>557</v>
      </c>
      <c r="D101" s="1229" t="s">
        <v>558</v>
      </c>
      <c r="E101" s="1230"/>
      <c r="F101" s="1231" t="str">
        <f>IF(F104="","","nach Verteilung Differenz")</f>
        <v/>
      </c>
      <c r="G101" s="1231"/>
    </row>
    <row r="102" spans="1:12" x14ac:dyDescent="0.2">
      <c r="A102" s="703"/>
      <c r="B102" s="722" t="s">
        <v>130</v>
      </c>
      <c r="C102" s="68">
        <f>SUMIFS(I56:I70,$E$26:$E$40,B102)</f>
        <v>0</v>
      </c>
      <c r="D102" s="1239">
        <f>SUMIFS(H76:H90,$E$26:$E$40,B102)</f>
        <v>0</v>
      </c>
      <c r="E102" s="1235"/>
      <c r="F102" s="1232" t="str">
        <f>IF($D$104&lt;&gt;ROUND($C$104,),IF(C102-D102&gt;C103-D103,ROUNDUP(C102,0),ROUNDDOWN(C102,0)),"")</f>
        <v/>
      </c>
      <c r="G102" s="1232"/>
    </row>
    <row r="103" spans="1:12" x14ac:dyDescent="0.2">
      <c r="A103" s="703"/>
      <c r="B103" s="723" t="s">
        <v>131</v>
      </c>
      <c r="C103" s="68">
        <f>SUMIFS(I56:I70,$E$26:$E$40,B103)</f>
        <v>0</v>
      </c>
      <c r="D103" s="1239">
        <f>SUMIFS(H76:H90,$E$26:$E$40,B103)</f>
        <v>0</v>
      </c>
      <c r="E103" s="1235"/>
      <c r="F103" s="1232" t="str">
        <f>IF($D$104&lt;&gt;ROUND($C$104,),IF(C103-D103&gt;C102-D102,ROUNDUP(C103,0),ROUNDDOWN(C103,0)),"")</f>
        <v/>
      </c>
      <c r="G103" s="1232"/>
    </row>
    <row r="104" spans="1:12" ht="15" x14ac:dyDescent="0.25">
      <c r="A104" s="703"/>
      <c r="B104" s="724" t="s">
        <v>48</v>
      </c>
      <c r="C104" s="725">
        <f>SUM(C102:C103)</f>
        <v>0</v>
      </c>
      <c r="D104" s="1225">
        <f>SUM(D102:E103)</f>
        <v>0</v>
      </c>
      <c r="E104" s="1258"/>
      <c r="F104" s="1225" t="str">
        <f>IF(ROUND(C104,0)&lt;&gt;D104,SUM(F102:F103),"")</f>
        <v/>
      </c>
      <c r="G104" s="1226"/>
    </row>
  </sheetData>
  <sheetProtection algorithmName="SHA-512" hashValue="yW44Z+kCdOri1CV5GsbdJdwC23BGycmHKZHCkm0dzKMW3OL4GXWQbRldALKgn2rrCX6heclvwBWenZv+udYm+A==" saltValue="gdpzeIxZAqrnBZpevsy+HQ==" spinCount="100000" sheet="1" objects="1" scenarios="1"/>
  <mergeCells count="151">
    <mergeCell ref="D104:E104"/>
    <mergeCell ref="D102:E102"/>
    <mergeCell ref="D103:E103"/>
    <mergeCell ref="J82:L91"/>
    <mergeCell ref="F66:H66"/>
    <mergeCell ref="F67:H67"/>
    <mergeCell ref="F68:H68"/>
    <mergeCell ref="F69:H69"/>
    <mergeCell ref="F70:H70"/>
    <mergeCell ref="F71:H71"/>
    <mergeCell ref="F98:G98"/>
    <mergeCell ref="D99:E99"/>
    <mergeCell ref="F99:G99"/>
    <mergeCell ref="F90:G90"/>
    <mergeCell ref="C91:E91"/>
    <mergeCell ref="F91:G91"/>
    <mergeCell ref="B93:I93"/>
    <mergeCell ref="D96:E96"/>
    <mergeCell ref="F96:G96"/>
    <mergeCell ref="D97:E97"/>
    <mergeCell ref="F97:G97"/>
    <mergeCell ref="D98:E98"/>
    <mergeCell ref="C75:E75"/>
    <mergeCell ref="F75:G75"/>
    <mergeCell ref="F60:H60"/>
    <mergeCell ref="F61:H61"/>
    <mergeCell ref="F62:H62"/>
    <mergeCell ref="F63:H63"/>
    <mergeCell ref="F64:H64"/>
    <mergeCell ref="F65:H65"/>
    <mergeCell ref="H18:I18"/>
    <mergeCell ref="H19:I19"/>
    <mergeCell ref="H20:I20"/>
    <mergeCell ref="F55:H55"/>
    <mergeCell ref="F56:H56"/>
    <mergeCell ref="F57:H57"/>
    <mergeCell ref="F58:H58"/>
    <mergeCell ref="F59:H59"/>
    <mergeCell ref="F34:G34"/>
    <mergeCell ref="H5:I5"/>
    <mergeCell ref="H6:I6"/>
    <mergeCell ref="H7:I7"/>
    <mergeCell ref="H8:I8"/>
    <mergeCell ref="H9:I9"/>
    <mergeCell ref="H10:I10"/>
    <mergeCell ref="H11:I11"/>
    <mergeCell ref="H12:I12"/>
    <mergeCell ref="H17:I17"/>
    <mergeCell ref="C76:E76"/>
    <mergeCell ref="F76:G76"/>
    <mergeCell ref="C77:E77"/>
    <mergeCell ref="F77:G77"/>
    <mergeCell ref="C63:E63"/>
    <mergeCell ref="C64:E64"/>
    <mergeCell ref="C65:E65"/>
    <mergeCell ref="C66:E66"/>
    <mergeCell ref="C67:E67"/>
    <mergeCell ref="C68:E68"/>
    <mergeCell ref="C40:D40"/>
    <mergeCell ref="F40:G40"/>
    <mergeCell ref="C55:E55"/>
    <mergeCell ref="C56:E56"/>
    <mergeCell ref="C57:E57"/>
    <mergeCell ref="C58:E58"/>
    <mergeCell ref="C35:D35"/>
    <mergeCell ref="F35:G35"/>
    <mergeCell ref="C36:D36"/>
    <mergeCell ref="F36:G36"/>
    <mergeCell ref="C37:D37"/>
    <mergeCell ref="F37:G37"/>
    <mergeCell ref="C29:D29"/>
    <mergeCell ref="F29:G29"/>
    <mergeCell ref="C30:D30"/>
    <mergeCell ref="F30:G30"/>
    <mergeCell ref="C31:D31"/>
    <mergeCell ref="F31:G31"/>
    <mergeCell ref="C17:D17"/>
    <mergeCell ref="C18:D18"/>
    <mergeCell ref="C19:D19"/>
    <mergeCell ref="C20:D20"/>
    <mergeCell ref="C25:D25"/>
    <mergeCell ref="F25:G25"/>
    <mergeCell ref="C5:D5"/>
    <mergeCell ref="C6:D6"/>
    <mergeCell ref="C7:D7"/>
    <mergeCell ref="C8:D8"/>
    <mergeCell ref="H13:I13"/>
    <mergeCell ref="H14:I14"/>
    <mergeCell ref="H15:I15"/>
    <mergeCell ref="H16:I16"/>
    <mergeCell ref="C85:E85"/>
    <mergeCell ref="F85:G85"/>
    <mergeCell ref="C70:E70"/>
    <mergeCell ref="C71:E71"/>
    <mergeCell ref="C69:E69"/>
    <mergeCell ref="C59:E59"/>
    <mergeCell ref="C60:E60"/>
    <mergeCell ref="C61:E61"/>
    <mergeCell ref="C62:E62"/>
    <mergeCell ref="C39:D39"/>
    <mergeCell ref="F39:G39"/>
    <mergeCell ref="C38:D38"/>
    <mergeCell ref="F38:G38"/>
    <mergeCell ref="C33:D33"/>
    <mergeCell ref="F33:G33"/>
    <mergeCell ref="C34:D34"/>
    <mergeCell ref="C90:E90"/>
    <mergeCell ref="C80:E80"/>
    <mergeCell ref="F80:G80"/>
    <mergeCell ref="C81:E81"/>
    <mergeCell ref="F81:G81"/>
    <mergeCell ref="C78:E78"/>
    <mergeCell ref="F78:G78"/>
    <mergeCell ref="C79:E79"/>
    <mergeCell ref="F79:G79"/>
    <mergeCell ref="C86:E86"/>
    <mergeCell ref="F86:G86"/>
    <mergeCell ref="C87:E87"/>
    <mergeCell ref="F87:G87"/>
    <mergeCell ref="C88:E88"/>
    <mergeCell ref="F88:G88"/>
    <mergeCell ref="C82:E82"/>
    <mergeCell ref="F82:G82"/>
    <mergeCell ref="C83:E83"/>
    <mergeCell ref="F83:G83"/>
    <mergeCell ref="C84:E84"/>
    <mergeCell ref="F84:G84"/>
    <mergeCell ref="F104:G104"/>
    <mergeCell ref="C9:D9"/>
    <mergeCell ref="C10:D10"/>
    <mergeCell ref="C11:D11"/>
    <mergeCell ref="C12:D12"/>
    <mergeCell ref="J94:L100"/>
    <mergeCell ref="D101:E101"/>
    <mergeCell ref="F101:G101"/>
    <mergeCell ref="F102:G102"/>
    <mergeCell ref="F103:G103"/>
    <mergeCell ref="C32:D32"/>
    <mergeCell ref="F32:G32"/>
    <mergeCell ref="C27:D27"/>
    <mergeCell ref="F27:G27"/>
    <mergeCell ref="C28:D28"/>
    <mergeCell ref="F28:G28"/>
    <mergeCell ref="C26:D26"/>
    <mergeCell ref="F26:G26"/>
    <mergeCell ref="C13:D13"/>
    <mergeCell ref="C14:D14"/>
    <mergeCell ref="C15:D15"/>
    <mergeCell ref="C16:D16"/>
    <mergeCell ref="C89:E89"/>
    <mergeCell ref="F89:G89"/>
  </mergeCells>
  <conditionalFormatting sqref="F99:G99">
    <cfRule type="expression" dxfId="10" priority="13">
      <formula>IF(F99&lt;&gt;"",1)</formula>
    </cfRule>
  </conditionalFormatting>
  <conditionalFormatting sqref="F97:G98">
    <cfRule type="expression" dxfId="9" priority="14">
      <formula>IF($F$99="",1)</formula>
    </cfRule>
  </conditionalFormatting>
  <conditionalFormatting sqref="G8">
    <cfRule type="expression" dxfId="8" priority="12">
      <formula>$C$8=0</formula>
    </cfRule>
  </conditionalFormatting>
  <conditionalFormatting sqref="F26:G40">
    <cfRule type="cellIs" dxfId="7" priority="11" operator="equal">
      <formula>0</formula>
    </cfRule>
  </conditionalFormatting>
  <conditionalFormatting sqref="C26:D40">
    <cfRule type="cellIs" dxfId="6" priority="10" operator="equal">
      <formula>0</formula>
    </cfRule>
  </conditionalFormatting>
  <conditionalFormatting sqref="F104:G104">
    <cfRule type="expression" dxfId="5" priority="7">
      <formula>IF(F104&lt;&gt;"",1)</formula>
    </cfRule>
  </conditionalFormatting>
  <conditionalFormatting sqref="F102:G102">
    <cfRule type="expression" dxfId="4" priority="6">
      <formula>IF($F$99="",1)</formula>
    </cfRule>
  </conditionalFormatting>
  <conditionalFormatting sqref="F103:G103">
    <cfRule type="expression" dxfId="3" priority="4">
      <formula>IF($F$99="",1)</formula>
    </cfRule>
  </conditionalFormatting>
  <conditionalFormatting sqref="H25:H40 H75:H91 F55:H71 H5:I20">
    <cfRule type="expression" dxfId="2" priority="3">
      <formula>SUM($F$6:$F$20)=0</formula>
    </cfRule>
  </conditionalFormatting>
  <conditionalFormatting sqref="I21 I25:I40 F43:G43 F46:I46 F49:I49 F51:I51 B101:H106 I56:I70">
    <cfRule type="expression" dxfId="1" priority="2">
      <formula>SUM($F$6:$F$20)=0</formula>
    </cfRule>
  </conditionalFormatting>
  <conditionalFormatting sqref="G9:G20">
    <cfRule type="expression" dxfId="0" priority="1">
      <formula>$C$8=0</formula>
    </cfRule>
  </conditionalFormatting>
  <dataValidations count="1">
    <dataValidation type="list" allowBlank="1" showInputMessage="1" showErrorMessage="1" sqref="E26:E40" xr:uid="{00000000-0002-0000-1D00-000000000000}">
      <formula1>$B$97:$B$98</formula1>
    </dataValidation>
  </dataValidations>
  <pageMargins left="0.7" right="0.7" top="0.78740157499999996" bottom="0.78740157499999996" header="0.3" footer="0.3"/>
  <pageSetup paperSize="9" scale="64" orientation="landscape" r:id="rId1"/>
  <rowBreaks count="1" manualBreakCount="1">
    <brk id="52" max="11"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15"/>
  <dimension ref="A2:AD99"/>
  <sheetViews>
    <sheetView zoomScale="70" zoomScaleNormal="70" workbookViewId="0">
      <selection activeCell="V23" sqref="V23"/>
    </sheetView>
  </sheetViews>
  <sheetFormatPr baseColWidth="10" defaultRowHeight="14.25" x14ac:dyDescent="0.2"/>
  <cols>
    <col min="1" max="1" width="12.75" customWidth="1"/>
    <col min="2" max="2" width="13.875" bestFit="1" customWidth="1"/>
    <col min="4" max="4" width="12.375" customWidth="1"/>
    <col min="5" max="5" width="11.375" bestFit="1" customWidth="1"/>
  </cols>
  <sheetData>
    <row r="2" spans="1:30" x14ac:dyDescent="0.2">
      <c r="A2" s="32" t="s">
        <v>208</v>
      </c>
      <c r="B2" s="11">
        <f>BG!D2</f>
        <v>0</v>
      </c>
      <c r="D2" s="24"/>
    </row>
    <row r="3" spans="1:30" ht="15" x14ac:dyDescent="0.25">
      <c r="A3" t="s">
        <v>604</v>
      </c>
      <c r="B3">
        <f>YEAR(B2)</f>
        <v>1900</v>
      </c>
      <c r="E3" s="6" t="s">
        <v>283</v>
      </c>
    </row>
    <row r="4" spans="1:30" ht="15" x14ac:dyDescent="0.25">
      <c r="A4" s="215" t="s">
        <v>594</v>
      </c>
      <c r="B4" s="216"/>
      <c r="C4" s="217"/>
    </row>
    <row r="5" spans="1:30" x14ac:dyDescent="0.2">
      <c r="A5" s="218" t="s">
        <v>155</v>
      </c>
      <c r="B5" s="219" t="e">
        <f>VLOOKUP(B3,X12:AD19,2,FALSE)</f>
        <v>#N/A</v>
      </c>
      <c r="C5" s="217"/>
      <c r="E5" s="23" t="s">
        <v>190</v>
      </c>
      <c r="F5" s="23" t="s">
        <v>191</v>
      </c>
      <c r="G5" s="23" t="s">
        <v>13</v>
      </c>
      <c r="H5" s="23" t="s">
        <v>14</v>
      </c>
      <c r="I5" s="23" t="s">
        <v>15</v>
      </c>
      <c r="J5" s="23" t="s">
        <v>16</v>
      </c>
      <c r="K5" s="23" t="s">
        <v>17</v>
      </c>
      <c r="L5" s="23" t="s">
        <v>18</v>
      </c>
      <c r="M5" s="46" t="s">
        <v>340</v>
      </c>
      <c r="N5" s="46" t="s">
        <v>341</v>
      </c>
      <c r="O5" s="46" t="s">
        <v>342</v>
      </c>
      <c r="P5" s="46" t="s">
        <v>343</v>
      </c>
      <c r="Q5" s="46" t="s">
        <v>344</v>
      </c>
      <c r="R5" s="46" t="s">
        <v>345</v>
      </c>
      <c r="S5" s="46" t="s">
        <v>378</v>
      </c>
      <c r="T5" s="46" t="s">
        <v>379</v>
      </c>
      <c r="U5" s="46" t="s">
        <v>380</v>
      </c>
      <c r="V5" s="51" t="s">
        <v>286</v>
      </c>
    </row>
    <row r="6" spans="1:30" x14ac:dyDescent="0.2">
      <c r="A6" s="218" t="s">
        <v>156</v>
      </c>
      <c r="B6" s="219" t="e">
        <f>VLOOKUP(B3,X12:AD19,3,FALSE)</f>
        <v>#N/A</v>
      </c>
      <c r="C6" s="217"/>
      <c r="D6" s="23" t="s">
        <v>284</v>
      </c>
      <c r="E6" s="48" t="str">
        <f>IF(BG!F19=".","nein",IF(BG!F19="nein","nein",IF(BG!F19="Student","nein","ja")))</f>
        <v>nein</v>
      </c>
      <c r="F6" s="48" t="str">
        <f>IF(BG!F20=".","nein",IF(BG!F20="nein","nein",IF(BG!F20="Student","nein","ja")))</f>
        <v>nein</v>
      </c>
      <c r="G6" s="48" t="str">
        <f>IF(BG!F21=".","nein",IF(BG!F21="nein","nein","ja"))</f>
        <v>nein</v>
      </c>
      <c r="H6" s="48" t="str">
        <f>IF(BG!F22=".","nein",IF(BG!F22="nein","nein","ja"))</f>
        <v>nein</v>
      </c>
      <c r="I6" s="48" t="str">
        <f>IF(BG!F23=".","nein",IF(BG!F23="nein","nein","ja"))</f>
        <v>nein</v>
      </c>
      <c r="J6" s="48" t="str">
        <f>IF(BG!F24=".","nein",IF(BG!F24="nein","nein","ja"))</f>
        <v>nein</v>
      </c>
      <c r="K6" s="48" t="str">
        <f>IF(BG!F25=".","nein",IF(BG!F25="nein","nein","ja"))</f>
        <v>nein</v>
      </c>
      <c r="L6" s="48" t="str">
        <f>IF(BG!F26=".","nein",IF(BG!F26="nein","nein","ja"))</f>
        <v>nein</v>
      </c>
      <c r="M6" s="154" t="str">
        <f>IF(BG!F27=".","nein",IF(BG!F27="nein","nein","ja"))</f>
        <v>nein</v>
      </c>
      <c r="N6" s="154" t="str">
        <f>IF(BG!F28=".","nein",IF(BG!F28="nein","nein","ja"))</f>
        <v>nein</v>
      </c>
      <c r="O6" s="154" t="str">
        <f>IF(BG!F29=".","nein",IF(BG!F29="nein","nein","ja"))</f>
        <v>nein</v>
      </c>
      <c r="P6" s="154" t="str">
        <f>IF(BG!F30=".","nein",IF(BG!F30="nein","nein","ja"))</f>
        <v>nein</v>
      </c>
      <c r="Q6" s="154" t="str">
        <f>IF(BG!F31=".","nein",IF(BG!F31="nein","nein","ja"))</f>
        <v>nein</v>
      </c>
      <c r="R6" s="154" t="str">
        <f>IF(BG!F32=".","nein",IF(BG!F32="nein","nein","ja"))</f>
        <v>nein</v>
      </c>
      <c r="S6" s="162" t="str">
        <f>IF(BG!F33=".","nein",IF(BG!F33="nein","nein","ja"))</f>
        <v>nein</v>
      </c>
      <c r="T6" s="162" t="str">
        <f>IF(BG!F34=".","nein",IF(BG!F34="nein","nein","ja"))</f>
        <v>nein</v>
      </c>
      <c r="U6" s="162" t="str">
        <f>IF(BG!F35=".","nein",IF(BG!F35="nein","nein","ja"))</f>
        <v>nein</v>
      </c>
      <c r="V6" s="23">
        <f>COUNTIF(E6:F6,"ja")</f>
        <v>0</v>
      </c>
    </row>
    <row r="7" spans="1:30" ht="15" thickBot="1" x14ac:dyDescent="0.25">
      <c r="A7" s="220" t="s">
        <v>157</v>
      </c>
      <c r="B7" s="220">
        <v>5</v>
      </c>
      <c r="C7" s="217"/>
      <c r="D7" s="1276" t="s">
        <v>285</v>
      </c>
      <c r="E7" s="1277"/>
      <c r="F7" s="1278"/>
      <c r="G7" s="47" t="str">
        <f>IF(Datenblatt!E75&gt;14,"ja","nein")</f>
        <v>nein</v>
      </c>
      <c r="H7" s="47" t="str">
        <f>IF(Datenblatt!F75&gt;14,"ja","nein")</f>
        <v>nein</v>
      </c>
      <c r="I7" s="47" t="str">
        <f>IF(Datenblatt!G75&gt;14,"ja","nein")</f>
        <v>nein</v>
      </c>
      <c r="J7" s="47" t="str">
        <f>IF(Datenblatt!H75&gt;14,"ja","nein")</f>
        <v>nein</v>
      </c>
      <c r="K7" s="47" t="str">
        <f>IF(Datenblatt!I75&gt;14,"ja","nein")</f>
        <v>nein</v>
      </c>
      <c r="L7" s="47" t="str">
        <f>IF(Datenblatt!J75&gt;14,"ja","nein")</f>
        <v>nein</v>
      </c>
      <c r="M7" s="159" t="str">
        <f>IF(Datenblatt!K75&gt;14,"ja","nein")</f>
        <v>nein</v>
      </c>
      <c r="N7" s="159" t="str">
        <f>IF(Datenblatt!L75&gt;14,"ja","nein")</f>
        <v>nein</v>
      </c>
      <c r="O7" s="159" t="str">
        <f>IF(Datenblatt!M75&gt;14,"ja","nein")</f>
        <v>nein</v>
      </c>
      <c r="P7" s="159" t="str">
        <f>IF(Datenblatt!N75&gt;14,"ja","nein")</f>
        <v>nein</v>
      </c>
      <c r="Q7" s="159" t="str">
        <f>IF(Datenblatt!O75&gt;14,"ja","nein")</f>
        <v>nein</v>
      </c>
      <c r="R7" s="159" t="str">
        <f>IF(Datenblatt!P75&gt;14,"ja","nein")</f>
        <v>nein</v>
      </c>
      <c r="S7" s="159" t="str">
        <f>IF(Datenblatt!Q75&gt;14,"ja","nein")</f>
        <v>nein</v>
      </c>
      <c r="T7" s="159" t="str">
        <f>IF(Datenblatt!R75&gt;14,"ja","nein")</f>
        <v>nein</v>
      </c>
      <c r="U7" s="159" t="str">
        <f>IF(Datenblatt!S75&gt;14,"ja","nein")</f>
        <v>nein</v>
      </c>
      <c r="V7" s="23"/>
    </row>
    <row r="8" spans="1:30" ht="15" thickTop="1" x14ac:dyDescent="0.2">
      <c r="A8" s="221" t="s">
        <v>158</v>
      </c>
      <c r="B8" s="222" t="e">
        <f>VLOOKUP(B3,X12:AD19,7,FALSE)</f>
        <v>#N/A</v>
      </c>
      <c r="C8" s="217"/>
      <c r="D8" s="1279" t="s">
        <v>295</v>
      </c>
      <c r="E8" s="1279"/>
      <c r="F8" s="54" t="str">
        <f>IF(OR(BG!D8="mit Partner",BG!D8="verheiratet"),"nein",IF(AND(BG!D8="alleinerziehend",Bedarfe!C22="ja"),"nein","ja"))</f>
        <v>ja</v>
      </c>
      <c r="G8" s="54" t="str">
        <f t="shared" ref="G8:U8" si="0">IF(AND(G6="nein",G7="ja"),"ja","nein")</f>
        <v>nein</v>
      </c>
      <c r="H8" s="54" t="str">
        <f t="shared" si="0"/>
        <v>nein</v>
      </c>
      <c r="I8" s="54" t="str">
        <f t="shared" si="0"/>
        <v>nein</v>
      </c>
      <c r="J8" s="54" t="str">
        <f t="shared" si="0"/>
        <v>nein</v>
      </c>
      <c r="K8" s="54" t="str">
        <f t="shared" si="0"/>
        <v>nein</v>
      </c>
      <c r="L8" s="54" t="str">
        <f t="shared" si="0"/>
        <v>nein</v>
      </c>
      <c r="M8" s="155" t="str">
        <f t="shared" si="0"/>
        <v>nein</v>
      </c>
      <c r="N8" s="155" t="str">
        <f t="shared" si="0"/>
        <v>nein</v>
      </c>
      <c r="O8" s="155" t="str">
        <f t="shared" si="0"/>
        <v>nein</v>
      </c>
      <c r="P8" s="155" t="str">
        <f t="shared" si="0"/>
        <v>nein</v>
      </c>
      <c r="Q8" s="155" t="str">
        <f t="shared" si="0"/>
        <v>nein</v>
      </c>
      <c r="R8" s="155" t="str">
        <f t="shared" si="0"/>
        <v>nein</v>
      </c>
      <c r="S8" s="163" t="str">
        <f t="shared" si="0"/>
        <v>nein</v>
      </c>
      <c r="T8" s="163" t="str">
        <f t="shared" si="0"/>
        <v>nein</v>
      </c>
      <c r="U8" s="163" t="str">
        <f t="shared" si="0"/>
        <v>nein</v>
      </c>
      <c r="V8" s="155"/>
    </row>
    <row r="9" spans="1:30" x14ac:dyDescent="0.2">
      <c r="A9" s="220" t="s">
        <v>159</v>
      </c>
      <c r="B9" s="220">
        <v>13</v>
      </c>
      <c r="C9" s="217"/>
      <c r="D9" s="1275" t="s">
        <v>296</v>
      </c>
      <c r="E9" s="1275"/>
      <c r="F9" s="48" t="str">
        <f>IF(BG!D8="alleinerziehend","nein",IF(Datenblatt!V6=2,"nein","ja"))</f>
        <v>ja</v>
      </c>
      <c r="K9" s="53"/>
      <c r="L9" s="53"/>
      <c r="M9" s="50"/>
    </row>
    <row r="10" spans="1:30" x14ac:dyDescent="0.2">
      <c r="A10" s="223" t="s">
        <v>160</v>
      </c>
      <c r="B10" s="224" t="e">
        <f>VLOOKUP(B3,X12:AD19,6,FALSE)</f>
        <v>#N/A</v>
      </c>
      <c r="C10" s="217"/>
      <c r="K10" s="1283"/>
      <c r="L10" s="1283"/>
    </row>
    <row r="11" spans="1:30" ht="15.75" thickBot="1" x14ac:dyDescent="0.3">
      <c r="A11" s="220" t="s">
        <v>161</v>
      </c>
      <c r="B11" s="220">
        <v>17</v>
      </c>
      <c r="C11" s="217"/>
      <c r="X11" s="22" t="s">
        <v>485</v>
      </c>
    </row>
    <row r="12" spans="1:30" ht="15.75" thickBot="1" x14ac:dyDescent="0.3">
      <c r="A12" s="223" t="s">
        <v>162</v>
      </c>
      <c r="B12" s="224" t="e">
        <f>VLOOKUP(B3,X12:AD19,5,FALSE)</f>
        <v>#N/A</v>
      </c>
      <c r="C12" s="217"/>
      <c r="O12" s="22" t="s">
        <v>485</v>
      </c>
      <c r="X12" s="781" t="s">
        <v>601</v>
      </c>
      <c r="Y12" s="782" t="s">
        <v>602</v>
      </c>
      <c r="Z12" s="782" t="s">
        <v>156</v>
      </c>
      <c r="AA12" s="782" t="s">
        <v>489</v>
      </c>
      <c r="AB12" s="782" t="s">
        <v>488</v>
      </c>
      <c r="AC12" s="782" t="s">
        <v>603</v>
      </c>
      <c r="AD12" s="783" t="s">
        <v>486</v>
      </c>
    </row>
    <row r="13" spans="1:30" ht="15" x14ac:dyDescent="0.25">
      <c r="A13" s="221" t="s">
        <v>163</v>
      </c>
      <c r="B13" s="221"/>
      <c r="C13" s="217"/>
      <c r="O13" s="226"/>
      <c r="P13" s="227">
        <v>2019</v>
      </c>
      <c r="Q13" s="227">
        <v>2020</v>
      </c>
      <c r="R13" s="733">
        <v>2021</v>
      </c>
      <c r="S13" s="227">
        <v>2022</v>
      </c>
      <c r="T13" s="227">
        <v>2023</v>
      </c>
      <c r="U13" s="227">
        <v>2024</v>
      </c>
      <c r="V13" s="734">
        <v>2025</v>
      </c>
      <c r="X13" s="784">
        <v>2019</v>
      </c>
      <c r="Y13" s="785">
        <v>424</v>
      </c>
      <c r="Z13" s="786">
        <v>382</v>
      </c>
      <c r="AA13" s="787">
        <v>339</v>
      </c>
      <c r="AB13" s="786">
        <v>322</v>
      </c>
      <c r="AC13" s="787">
        <v>302</v>
      </c>
      <c r="AD13" s="788">
        <v>245</v>
      </c>
    </row>
    <row r="14" spans="1:30" x14ac:dyDescent="0.2">
      <c r="A14" s="223" t="s">
        <v>164</v>
      </c>
      <c r="B14" s="224" t="e">
        <f>VLOOKUP(B3,X12:AD19,4,FALSE)</f>
        <v>#N/A</v>
      </c>
      <c r="C14" s="217"/>
      <c r="O14" s="228" t="s">
        <v>155</v>
      </c>
      <c r="P14" s="225">
        <v>424</v>
      </c>
      <c r="Q14" s="225">
        <v>432</v>
      </c>
      <c r="R14" s="732">
        <v>446</v>
      </c>
      <c r="S14" s="23">
        <v>449</v>
      </c>
      <c r="T14" s="776">
        <v>502</v>
      </c>
      <c r="U14" s="776">
        <v>563</v>
      </c>
      <c r="V14" s="774">
        <v>502</v>
      </c>
      <c r="X14" s="789">
        <v>2020</v>
      </c>
      <c r="Y14" s="790">
        <v>432</v>
      </c>
      <c r="Z14" s="791">
        <v>389</v>
      </c>
      <c r="AA14" s="791">
        <v>345</v>
      </c>
      <c r="AB14" s="791">
        <v>328</v>
      </c>
      <c r="AC14" s="791">
        <v>308</v>
      </c>
      <c r="AD14" s="792">
        <v>250</v>
      </c>
    </row>
    <row r="15" spans="1:30" x14ac:dyDescent="0.2">
      <c r="O15" s="228" t="s">
        <v>156</v>
      </c>
      <c r="P15" s="225">
        <v>382</v>
      </c>
      <c r="Q15" s="225">
        <v>389</v>
      </c>
      <c r="R15" s="732">
        <v>401</v>
      </c>
      <c r="S15" s="23">
        <v>404</v>
      </c>
      <c r="T15" s="776">
        <v>451</v>
      </c>
      <c r="U15" s="776">
        <v>506</v>
      </c>
      <c r="V15" s="774">
        <v>451</v>
      </c>
      <c r="X15" s="789">
        <v>2021</v>
      </c>
      <c r="Y15" s="790">
        <v>446</v>
      </c>
      <c r="Z15" s="791">
        <v>401</v>
      </c>
      <c r="AA15" s="791">
        <v>357</v>
      </c>
      <c r="AB15" s="791">
        <v>373</v>
      </c>
      <c r="AC15" s="791">
        <v>309</v>
      </c>
      <c r="AD15" s="792">
        <v>283</v>
      </c>
    </row>
    <row r="16" spans="1:30" x14ac:dyDescent="0.2">
      <c r="O16" s="228" t="s">
        <v>486</v>
      </c>
      <c r="P16" s="225">
        <v>245</v>
      </c>
      <c r="Q16" s="225">
        <v>250</v>
      </c>
      <c r="R16" s="732">
        <v>283</v>
      </c>
      <c r="S16" s="23">
        <v>285</v>
      </c>
      <c r="T16" s="776">
        <v>318</v>
      </c>
      <c r="U16" s="776">
        <v>357</v>
      </c>
      <c r="V16" s="774">
        <v>318</v>
      </c>
      <c r="X16" s="789">
        <v>2022</v>
      </c>
      <c r="Y16" s="790">
        <v>449</v>
      </c>
      <c r="Z16" s="791">
        <v>404</v>
      </c>
      <c r="AA16" s="791">
        <v>360</v>
      </c>
      <c r="AB16" s="791">
        <v>376</v>
      </c>
      <c r="AC16" s="791">
        <v>311</v>
      </c>
      <c r="AD16" s="792">
        <v>285</v>
      </c>
    </row>
    <row r="17" spans="1:30" x14ac:dyDescent="0.2">
      <c r="O17" s="228" t="s">
        <v>487</v>
      </c>
      <c r="P17" s="225">
        <v>302</v>
      </c>
      <c r="Q17" s="225">
        <v>308</v>
      </c>
      <c r="R17" s="732">
        <v>309</v>
      </c>
      <c r="S17" s="23">
        <v>311</v>
      </c>
      <c r="T17" s="776">
        <v>348</v>
      </c>
      <c r="U17" s="776">
        <v>390</v>
      </c>
      <c r="V17" s="774">
        <v>348</v>
      </c>
      <c r="X17" s="789">
        <v>2023</v>
      </c>
      <c r="Y17" s="790">
        <v>502</v>
      </c>
      <c r="Z17" s="791">
        <v>451</v>
      </c>
      <c r="AA17" s="791">
        <v>402</v>
      </c>
      <c r="AB17" s="791">
        <v>420</v>
      </c>
      <c r="AC17" s="791">
        <v>348</v>
      </c>
      <c r="AD17" s="792">
        <v>318</v>
      </c>
    </row>
    <row r="18" spans="1:30" x14ac:dyDescent="0.2">
      <c r="O18" s="228" t="s">
        <v>488</v>
      </c>
      <c r="P18" s="225">
        <v>322</v>
      </c>
      <c r="Q18" s="225">
        <v>328</v>
      </c>
      <c r="R18" s="732">
        <v>373</v>
      </c>
      <c r="S18" s="23">
        <v>376</v>
      </c>
      <c r="T18" s="776">
        <v>420</v>
      </c>
      <c r="U18" s="776">
        <v>471</v>
      </c>
      <c r="V18" s="774">
        <v>420</v>
      </c>
      <c r="X18" s="789">
        <v>2024</v>
      </c>
      <c r="Y18" s="790">
        <v>563</v>
      </c>
      <c r="Z18" s="791">
        <v>506</v>
      </c>
      <c r="AA18" s="791">
        <v>451</v>
      </c>
      <c r="AB18" s="791">
        <v>471</v>
      </c>
      <c r="AC18" s="791">
        <v>390</v>
      </c>
      <c r="AD18" s="792">
        <v>357</v>
      </c>
    </row>
    <row r="19" spans="1:30" ht="15" thickBot="1" x14ac:dyDescent="0.25">
      <c r="B19" s="23" t="s">
        <v>13</v>
      </c>
      <c r="C19" s="23" t="s">
        <v>14</v>
      </c>
      <c r="D19" s="23" t="s">
        <v>15</v>
      </c>
      <c r="E19" s="23" t="s">
        <v>16</v>
      </c>
      <c r="F19" s="23" t="s">
        <v>17</v>
      </c>
      <c r="G19" s="23" t="s">
        <v>18</v>
      </c>
      <c r="H19" s="23" t="s">
        <v>269</v>
      </c>
      <c r="I19" s="23" t="s">
        <v>14</v>
      </c>
      <c r="J19" s="23" t="s">
        <v>15</v>
      </c>
      <c r="K19" s="23" t="s">
        <v>16</v>
      </c>
      <c r="L19" s="23" t="s">
        <v>17</v>
      </c>
      <c r="M19" s="23" t="s">
        <v>18</v>
      </c>
      <c r="O19" s="229" t="s">
        <v>489</v>
      </c>
      <c r="P19" s="230">
        <v>339</v>
      </c>
      <c r="Q19" s="230">
        <v>345</v>
      </c>
      <c r="R19" s="735">
        <v>357</v>
      </c>
      <c r="S19" s="771">
        <v>360</v>
      </c>
      <c r="T19" s="775">
        <v>402</v>
      </c>
      <c r="U19" s="775">
        <v>451</v>
      </c>
      <c r="V19" s="772">
        <v>402</v>
      </c>
      <c r="X19" s="793">
        <v>2025</v>
      </c>
      <c r="Y19" s="794">
        <v>563</v>
      </c>
      <c r="Z19" s="795">
        <v>506</v>
      </c>
      <c r="AA19" s="795">
        <v>451</v>
      </c>
      <c r="AB19" s="795">
        <v>471</v>
      </c>
      <c r="AC19" s="795">
        <v>390</v>
      </c>
      <c r="AD19" s="796">
        <v>357</v>
      </c>
    </row>
    <row r="20" spans="1:30" ht="15.75" thickBot="1" x14ac:dyDescent="0.3">
      <c r="A20" s="20" t="s">
        <v>168</v>
      </c>
      <c r="B20" s="45">
        <f>BG!C21</f>
        <v>0</v>
      </c>
      <c r="C20" s="45" t="str">
        <f>IF(BG!C22=ISBLANK(0)," ",BG!C22)</f>
        <v xml:space="preserve"> </v>
      </c>
      <c r="D20" s="45" t="str">
        <f>IF(BG!C23=ISBLANK(0)," ",BG!C23)</f>
        <v xml:space="preserve"> </v>
      </c>
      <c r="E20" s="45" t="str">
        <f>IF(BG!C24=ISBLANK(0)," ",BG!C24)</f>
        <v xml:space="preserve"> </v>
      </c>
      <c r="F20" s="45" t="str">
        <f>IF(BG!C25=ISBLANK(0)," ",BG!C25)</f>
        <v xml:space="preserve"> </v>
      </c>
      <c r="G20" s="45" t="str">
        <f>IF(BG!C26=ISBLANK(0)," ",BG!C26)</f>
        <v xml:space="preserve"> </v>
      </c>
      <c r="H20" s="23"/>
      <c r="I20" s="23"/>
      <c r="J20" s="23"/>
      <c r="K20" s="23"/>
      <c r="L20" s="23"/>
      <c r="M20" s="3"/>
      <c r="N20" s="231"/>
      <c r="O20" s="234"/>
      <c r="P20" s="736"/>
      <c r="Q20" s="736"/>
      <c r="R20" s="737"/>
    </row>
    <row r="21" spans="1:30" ht="15" x14ac:dyDescent="0.25">
      <c r="A21" s="20" t="s">
        <v>165</v>
      </c>
      <c r="B21" s="11">
        <f t="shared" ref="B21:G21" si="1">EDATE(B20,72)</f>
        <v>2192</v>
      </c>
      <c r="C21" s="11" t="e">
        <f t="shared" si="1"/>
        <v>#VALUE!</v>
      </c>
      <c r="D21" s="11" t="e">
        <f t="shared" si="1"/>
        <v>#VALUE!</v>
      </c>
      <c r="E21" s="11" t="e">
        <f t="shared" si="1"/>
        <v>#VALUE!</v>
      </c>
      <c r="F21" s="45" t="e">
        <f t="shared" si="1"/>
        <v>#VALUE!</v>
      </c>
      <c r="G21" s="45" t="e">
        <f t="shared" si="1"/>
        <v>#VALUE!</v>
      </c>
      <c r="H21" s="23" t="str">
        <f>IF(B2=B21,"nein",IF(AND(MONTH(B2)=MONTH(B21),YEAR(B2)=YEAR(B21)),"ja","nein"))</f>
        <v>nein</v>
      </c>
      <c r="I21" s="23" t="e">
        <f>IF(B2=C21,"nein",IF(AND(MONTH(B2)=MONTH(C21),YEAR(B2)=YEAR(C21)),"ja","nein"))</f>
        <v>#VALUE!</v>
      </c>
      <c r="J21" s="23" t="e">
        <f>IF(B2=D21,"nein",IF(AND(MONTH(B2)=MONTH(D21),YEAR(B2)=YEAR(D21)),"ja","nein"))</f>
        <v>#VALUE!</v>
      </c>
      <c r="K21" s="23" t="e">
        <f>IF(B2=E21,"nein",IF(AND(MONTH(B2)=MONTH(E21),YEAR(B2)=YEAR(E21)),"ja","nein"))</f>
        <v>#VALUE!</v>
      </c>
      <c r="L21" s="23" t="e">
        <f>IF(B2=F21,"nein",IF(AND(MONTH(B2)=MONTH(F21),YEAR(B2)=YEAR(F21)),"ja","nein"))</f>
        <v>#VALUE!</v>
      </c>
      <c r="M21" s="3" t="e">
        <f>IF(B2=G21,"nein",IF(AND(MONTH(B2)=MONTH(G21),YEAR(B2)=YEAR(G21)),"ja","nein"))</f>
        <v>#VALUE!</v>
      </c>
      <c r="N21" s="233"/>
      <c r="O21" s="226" t="s">
        <v>490</v>
      </c>
      <c r="P21" s="743">
        <v>2019</v>
      </c>
      <c r="Q21" s="743">
        <v>2020</v>
      </c>
      <c r="R21" s="743">
        <v>2021</v>
      </c>
      <c r="S21" s="733">
        <v>2022</v>
      </c>
      <c r="T21" s="743">
        <v>2023</v>
      </c>
      <c r="U21" s="743">
        <v>2024</v>
      </c>
      <c r="V21" s="770">
        <v>2025</v>
      </c>
    </row>
    <row r="22" spans="1:30" ht="15.75" thickBot="1" x14ac:dyDescent="0.3">
      <c r="A22" s="20" t="s">
        <v>166</v>
      </c>
      <c r="B22" s="11">
        <f t="shared" ref="B22:G22" si="2">EDATE(B20,168)</f>
        <v>5114</v>
      </c>
      <c r="C22" s="11" t="e">
        <f t="shared" si="2"/>
        <v>#VALUE!</v>
      </c>
      <c r="D22" s="11" t="e">
        <f t="shared" si="2"/>
        <v>#VALUE!</v>
      </c>
      <c r="E22" s="11" t="e">
        <f t="shared" si="2"/>
        <v>#VALUE!</v>
      </c>
      <c r="F22" s="45" t="e">
        <f t="shared" si="2"/>
        <v>#VALUE!</v>
      </c>
      <c r="G22" s="45" t="e">
        <f t="shared" si="2"/>
        <v>#VALUE!</v>
      </c>
      <c r="H22" s="23" t="str">
        <f>IF(B2=B22,"nein",IF(AND(MONTH(B2)=MONTH(B22),YEAR(B2)=YEAR(B22)),"ja","nein"))</f>
        <v>nein</v>
      </c>
      <c r="I22" s="23" t="e">
        <f>IF(B2=C22,"nein",IF(AND(MONTH(B2)=MONTH(C22),YEAR(B2)=YEAR(C22)),"ja","nein"))</f>
        <v>#VALUE!</v>
      </c>
      <c r="J22" s="23" t="e">
        <f>IF(B2=D22,"nein",IF(AND(MONTH(B2)=MONTH(D22),YEAR(B2)=YEAR(D22)),"ja","nein"))</f>
        <v>#VALUE!</v>
      </c>
      <c r="K22" s="23" t="e">
        <f>IF(B2=E22,"nein",IF(AND(MONTH(B2)=MONTH(E22),YEAR(B2)=YEAR(E22)),"ja","nein"))</f>
        <v>#VALUE!</v>
      </c>
      <c r="L22" s="23" t="e">
        <f>IF(B2=F22,"nein",IF(AND(MONTH(B2)=MONTH(F22),YEAR(B2)=YEAR(F22)),"ja","nein"))</f>
        <v>#VALUE!</v>
      </c>
      <c r="M22" s="3" t="e">
        <f>IF(B2=G22,"nein",IF(AND(MONTH(B2)=MONTH(G22),YEAR(B2)=YEAR(G22)),"ja","nein"))</f>
        <v>#VALUE!</v>
      </c>
      <c r="N22" s="233"/>
      <c r="O22" s="744">
        <f>IF(YEAR(BG!D2)=P21,P22,IF(YEAR(BG!D2)=Q21,Q22,IF(YEAR(BG!D2)=R21,R22,IF(AND(YEAR(BG!D2)=S21,(BG!G3)="ja"),S23,IF(YEAR(BG!D2)=T21,T22,IF(YEAR(BG!D2)=U21,U22,IF(YEAR(BG!D2)=V21,V22,S22)))))))</f>
        <v>209</v>
      </c>
      <c r="P22" s="745">
        <v>185</v>
      </c>
      <c r="Q22" s="745">
        <v>185</v>
      </c>
      <c r="R22" s="745">
        <v>205</v>
      </c>
      <c r="S22" s="771">
        <v>209</v>
      </c>
      <c r="T22" s="775">
        <v>250</v>
      </c>
      <c r="U22" s="780">
        <v>292</v>
      </c>
      <c r="V22" s="773">
        <v>297</v>
      </c>
      <c r="X22" s="797"/>
      <c r="Y22" s="14"/>
    </row>
    <row r="23" spans="1:30" ht="15.75" thickBot="1" x14ac:dyDescent="0.3">
      <c r="A23" s="20" t="s">
        <v>167</v>
      </c>
      <c r="B23" s="11">
        <f t="shared" ref="B23:G23" si="3">EDATE(B20,216)</f>
        <v>6575</v>
      </c>
      <c r="C23" s="11" t="e">
        <f t="shared" si="3"/>
        <v>#VALUE!</v>
      </c>
      <c r="D23" s="11" t="e">
        <f t="shared" si="3"/>
        <v>#VALUE!</v>
      </c>
      <c r="E23" s="11" t="e">
        <f t="shared" si="3"/>
        <v>#VALUE!</v>
      </c>
      <c r="F23" s="45" t="e">
        <f t="shared" si="3"/>
        <v>#VALUE!</v>
      </c>
      <c r="G23" s="45" t="e">
        <f t="shared" si="3"/>
        <v>#VALUE!</v>
      </c>
      <c r="H23" s="23" t="str">
        <f>IF(B2=B23,"nein",IF(AND(MONTH(B2)=MONTH(B23),YEAR(B2)=YEAR(B23)),"ja","nein"))</f>
        <v>nein</v>
      </c>
      <c r="I23" s="23" t="e">
        <f>IF(B2=C23,"nein",IF(AND(MONTH(B2)=MONTH(C23),YEAR(B2)=YEAR(C23)),"ja","nein"))</f>
        <v>#VALUE!</v>
      </c>
      <c r="J23" s="23" t="e">
        <f>IF(B2=D23,"nein",IF(AND(MONTH(B2)=MONTH(D23),YEAR(B2)=YEAR(D23)),"ja","nein"))</f>
        <v>#VALUE!</v>
      </c>
      <c r="K23" s="23" t="e">
        <f>IF(B2=E23,"nein",IF(AND(MONTH(B2)=MONTH(E23),YEAR(B2)=YEAR(E23)),"ja","nein"))</f>
        <v>#VALUE!</v>
      </c>
      <c r="L23" s="23" t="e">
        <f>IF(B2=F23,"nein",IF(AND(MONTH(B2)=MONTH(F23),YEAR(B2)=YEAR(F23)),"ja","nein"))</f>
        <v>#VALUE!</v>
      </c>
      <c r="M23" s="3" t="e">
        <f>IF(B2=G23,"nein",IF(AND(MONTH(B2)=MONTH(G23),YEAR(B2)=YEAR(G23)),"ja","nein"))</f>
        <v>#VALUE!</v>
      </c>
      <c r="N23" s="231"/>
      <c r="O23" s="232" t="s">
        <v>592</v>
      </c>
      <c r="P23" s="235"/>
      <c r="Q23" s="232"/>
      <c r="R23" s="767"/>
      <c r="S23" s="769">
        <v>229</v>
      </c>
      <c r="X23" s="797"/>
      <c r="Y23" s="797"/>
    </row>
    <row r="24" spans="1:30" x14ac:dyDescent="0.2">
      <c r="A24" s="19"/>
      <c r="B24" s="23"/>
      <c r="C24" s="23"/>
      <c r="D24" s="23"/>
      <c r="E24" s="23"/>
      <c r="F24" s="23"/>
      <c r="G24" s="23"/>
      <c r="N24" s="231"/>
      <c r="O24" s="231"/>
      <c r="P24" s="231"/>
      <c r="Q24" s="231"/>
      <c r="R24" s="231"/>
      <c r="X24" s="798"/>
      <c r="Y24" s="799"/>
    </row>
    <row r="25" spans="1:30" x14ac:dyDescent="0.2">
      <c r="B25" s="21" t="s">
        <v>173</v>
      </c>
      <c r="C25" s="21" t="s">
        <v>173</v>
      </c>
      <c r="D25" s="21" t="s">
        <v>173</v>
      </c>
      <c r="E25" s="21" t="s">
        <v>173</v>
      </c>
      <c r="F25" s="21" t="s">
        <v>173</v>
      </c>
      <c r="G25" s="21" t="s">
        <v>173</v>
      </c>
      <c r="N25" s="231"/>
      <c r="O25" s="231"/>
      <c r="P25" s="231"/>
      <c r="Q25" s="231"/>
      <c r="R25" s="231"/>
      <c r="X25" s="799"/>
      <c r="Y25" s="799"/>
    </row>
    <row r="26" spans="1:30" x14ac:dyDescent="0.2">
      <c r="B26" s="18">
        <f>DAY(DATE(YEAR(B2),MONTH(B2)+1,0))</f>
        <v>31</v>
      </c>
      <c r="C26" s="18">
        <f>DAY(DATE(YEAR(B2),MONTH(B2)+1,0))</f>
        <v>31</v>
      </c>
      <c r="D26" s="18">
        <f>DAY(DATE(YEAR(B2),MONTH(B2)+1,0))</f>
        <v>31</v>
      </c>
      <c r="E26" s="18">
        <f>DAY(DATE(YEAR(B2),MONTH(B2)+1,0))</f>
        <v>31</v>
      </c>
      <c r="F26" s="18">
        <f>DAY(DATE(YEAR(B2),MONTH(B2)+1,0))</f>
        <v>31</v>
      </c>
      <c r="G26" s="18">
        <f>DAY(DATE(YEAR(B2),MONTH(B2)+1,0))</f>
        <v>31</v>
      </c>
      <c r="N26" s="231"/>
      <c r="O26" s="231"/>
      <c r="P26" s="231"/>
      <c r="Q26" s="231"/>
      <c r="R26" s="231"/>
      <c r="X26" s="799"/>
      <c r="Y26" s="799"/>
    </row>
    <row r="27" spans="1:30" x14ac:dyDescent="0.2">
      <c r="B27" s="21" t="s">
        <v>169</v>
      </c>
      <c r="C27" s="21" t="s">
        <v>169</v>
      </c>
      <c r="D27" s="21" t="s">
        <v>169</v>
      </c>
      <c r="E27" s="21" t="s">
        <v>169</v>
      </c>
      <c r="F27" s="21" t="s">
        <v>169</v>
      </c>
      <c r="G27" s="21" t="s">
        <v>169</v>
      </c>
      <c r="X27" s="799"/>
      <c r="Y27" s="799"/>
    </row>
    <row r="28" spans="1:30" x14ac:dyDescent="0.2">
      <c r="B28" s="8" t="s">
        <v>170</v>
      </c>
      <c r="C28" s="8" t="s">
        <v>170</v>
      </c>
      <c r="D28" s="8" t="s">
        <v>170</v>
      </c>
      <c r="E28" s="8" t="s">
        <v>170</v>
      </c>
      <c r="F28" s="8" t="s">
        <v>170</v>
      </c>
      <c r="G28" s="8" t="s">
        <v>170</v>
      </c>
      <c r="X28" s="799"/>
      <c r="Y28" s="799"/>
    </row>
    <row r="29" spans="1:30" x14ac:dyDescent="0.2">
      <c r="B29" s="8" t="s">
        <v>171</v>
      </c>
      <c r="C29" s="8" t="s">
        <v>171</v>
      </c>
      <c r="D29" s="8" t="s">
        <v>171</v>
      </c>
      <c r="E29" s="8" t="s">
        <v>171</v>
      </c>
      <c r="F29" s="8" t="s">
        <v>171</v>
      </c>
      <c r="G29" s="8" t="s">
        <v>171</v>
      </c>
      <c r="X29" s="799"/>
      <c r="Y29" s="799"/>
    </row>
    <row r="30" spans="1:30" x14ac:dyDescent="0.2">
      <c r="B30" s="18">
        <f>(DATEDIF(DAY(B2),DAY(BG!C21),"d"))</f>
        <v>0</v>
      </c>
      <c r="C30" s="18">
        <f>(DATEDIF(DAY(B2),DAY(BG!C22),"d"))</f>
        <v>0</v>
      </c>
      <c r="D30" s="18">
        <f>(DATEDIF(DAY(B2),DAY(BG!C23),"d"))</f>
        <v>0</v>
      </c>
      <c r="E30" s="18">
        <f>(DATEDIF(DAY(B2),DAY(BG!C24),"d"))</f>
        <v>0</v>
      </c>
      <c r="F30" s="18">
        <f>(DATEDIF(DAY(B2),DAY(BG!C25),"d"))</f>
        <v>0</v>
      </c>
      <c r="G30" s="18">
        <f>(DATEDIF(DAY(B2),DAY(BG!C26),"d"))</f>
        <v>0</v>
      </c>
      <c r="X30" s="799"/>
      <c r="Y30" s="799"/>
    </row>
    <row r="31" spans="1:30" x14ac:dyDescent="0.2">
      <c r="B31" s="21" t="s">
        <v>169</v>
      </c>
      <c r="C31" s="21" t="s">
        <v>169</v>
      </c>
      <c r="D31" s="21" t="s">
        <v>169</v>
      </c>
      <c r="E31" s="21" t="s">
        <v>169</v>
      </c>
      <c r="F31" s="21" t="s">
        <v>169</v>
      </c>
      <c r="G31" s="21" t="s">
        <v>169</v>
      </c>
      <c r="X31" s="14"/>
      <c r="Y31" s="14"/>
    </row>
    <row r="32" spans="1:30" x14ac:dyDescent="0.2">
      <c r="B32" s="8" t="s">
        <v>172</v>
      </c>
      <c r="C32" s="8" t="s">
        <v>172</v>
      </c>
      <c r="D32" s="8" t="s">
        <v>172</v>
      </c>
      <c r="E32" s="8" t="s">
        <v>172</v>
      </c>
      <c r="F32" s="8" t="s">
        <v>172</v>
      </c>
      <c r="G32" s="8" t="s">
        <v>172</v>
      </c>
    </row>
    <row r="33" spans="1:19" x14ac:dyDescent="0.2">
      <c r="B33" s="8" t="s">
        <v>171</v>
      </c>
      <c r="C33" s="8" t="s">
        <v>171</v>
      </c>
      <c r="D33" s="8" t="s">
        <v>171</v>
      </c>
      <c r="E33" s="8" t="s">
        <v>171</v>
      </c>
      <c r="F33" s="8" t="s">
        <v>171</v>
      </c>
      <c r="G33" s="8" t="s">
        <v>171</v>
      </c>
    </row>
    <row r="34" spans="1:19" x14ac:dyDescent="0.2">
      <c r="B34" s="18">
        <f t="shared" ref="B34:G34" si="4">B26-B30</f>
        <v>31</v>
      </c>
      <c r="C34" s="18">
        <f t="shared" si="4"/>
        <v>31</v>
      </c>
      <c r="D34" s="18">
        <f t="shared" si="4"/>
        <v>31</v>
      </c>
      <c r="E34" s="18">
        <f t="shared" si="4"/>
        <v>31</v>
      </c>
      <c r="F34" s="18">
        <f t="shared" si="4"/>
        <v>31</v>
      </c>
      <c r="G34" s="18">
        <f t="shared" si="4"/>
        <v>31</v>
      </c>
    </row>
    <row r="35" spans="1:19" x14ac:dyDescent="0.2">
      <c r="B35" s="26" t="s">
        <v>171</v>
      </c>
      <c r="C35" s="26" t="s">
        <v>171</v>
      </c>
      <c r="D35" s="26" t="s">
        <v>171</v>
      </c>
      <c r="E35" s="26" t="s">
        <v>171</v>
      </c>
      <c r="F35" s="26" t="s">
        <v>171</v>
      </c>
      <c r="G35" s="26" t="s">
        <v>171</v>
      </c>
      <c r="H35" s="26" t="s">
        <v>340</v>
      </c>
      <c r="I35" s="26" t="s">
        <v>341</v>
      </c>
      <c r="J35" s="26" t="s">
        <v>342</v>
      </c>
      <c r="K35" s="26" t="s">
        <v>343</v>
      </c>
      <c r="L35" s="26" t="s">
        <v>344</v>
      </c>
      <c r="M35" s="26" t="s">
        <v>345</v>
      </c>
      <c r="N35" s="26" t="s">
        <v>378</v>
      </c>
      <c r="O35" s="26" t="s">
        <v>379</v>
      </c>
      <c r="P35" s="26" t="s">
        <v>380</v>
      </c>
    </row>
    <row r="36" spans="1:19" x14ac:dyDescent="0.2">
      <c r="B36" s="13" t="e">
        <f>IF(E74&lt;6,B8,IF(E74&lt;14,B10,IF(E74&lt;18,B12,IF(E74&lt;25,B14,0))))</f>
        <v>#N/A</v>
      </c>
      <c r="C36" s="30" t="e">
        <f>IF(F74&lt;6,B8,IF(F74&lt;14,B10,IF(F74&lt;18,B12,IF(F74&lt;25,B14,0))))</f>
        <v>#N/A</v>
      </c>
      <c r="D36" s="52" t="e">
        <f>IF(G74&lt;6,B8,IF(G74&lt;14,B10,IF(G74&lt;18,B12,IF(G74&lt;25,B14,0))))</f>
        <v>#N/A</v>
      </c>
      <c r="E36" s="30" t="e">
        <f>IF(H74&lt;6,B8,IF(H74&lt;14,B10,IF(H74&lt;18,B12,IF(H74&lt;25,B14,0))))</f>
        <v>#N/A</v>
      </c>
      <c r="F36" s="30" t="e">
        <f>IF(I74&lt;6,B8,IF(I74&lt;14,B10,IF(I74&lt;18,B12,IF(I74&lt;25,B14,0))))</f>
        <v>#N/A</v>
      </c>
      <c r="G36" s="30" t="e">
        <f>IF(J74&lt;6,B8,IF(J74&lt;14,B10,IF(J74&lt;18,B12,IF(J74&lt;25,B14,0))))</f>
        <v>#N/A</v>
      </c>
      <c r="H36" s="13" t="e">
        <f>IF(K74&lt;6,B8,IF(K74&lt;14,B10,IF(K74&lt;18,B12,IF(K74&lt;25,B14,0))))</f>
        <v>#N/A</v>
      </c>
      <c r="I36" s="13" t="e">
        <f>IF(L74&lt;6,B8,IF(L74&lt;14,B10,IF(L74&lt;18,B12,IF(L74&lt;25,B14,0))))</f>
        <v>#N/A</v>
      </c>
      <c r="J36" s="13" t="e">
        <f>IF(M74&lt;6,B8,IF(M74&lt;14,B10,IF(M74&lt;18,B12,IF(M74&lt;25,B14,0))))</f>
        <v>#N/A</v>
      </c>
      <c r="K36" s="13" t="e">
        <f>IF(N74&lt;6,B8,IF(N74&lt;14,B10,IF(N74&lt;18,B12,IF(N74&lt;25,B14,0))))</f>
        <v>#N/A</v>
      </c>
      <c r="L36" s="13" t="e">
        <f>IF(O74&lt;6,B8,IF(O74&lt;14,B10,IF(O74&lt;18,B12,IF(O74&lt;25,B14,0))))</f>
        <v>#N/A</v>
      </c>
      <c r="M36" s="13" t="e">
        <f>IF(P74&lt;6,B8,IF(P74&lt;14,B10,IF(P74&lt;18,B12,IF(P74&lt;25,B14,0))))</f>
        <v>#N/A</v>
      </c>
      <c r="N36" s="13" t="e">
        <f>IF(Q74&lt;6,B8,IF(Q74&lt;14,B10,IF(Q74&lt;18,B12,IF(Q74&lt;25,B14,0))))</f>
        <v>#N/A</v>
      </c>
      <c r="O36" s="13" t="e">
        <f>IF(R74&lt;6,B8,IF(R74&lt;14,B10,IF(R74&lt;18,B12,IF(R74&lt;25,B14,0))))</f>
        <v>#N/A</v>
      </c>
      <c r="P36" s="13" t="e">
        <f>IF(S74&lt;6,B8,IF(S74&lt;14,B10,IF(S74&lt;18,B12,IF(S74&lt;25,B14,0))))</f>
        <v>#N/A</v>
      </c>
    </row>
    <row r="37" spans="1:19" x14ac:dyDescent="0.2">
      <c r="A37" s="25" t="s">
        <v>179</v>
      </c>
      <c r="B37" s="219" t="e">
        <f>IF(Datenblatt!E74&lt;6,ROUND(B8*0.8%,2),IF(Datenblatt!E74&lt;14,ROUND(B10*1.2%,2),IF(Datenblatt!E74&lt;18,ROUND(B12*1.4%,2),IF(Datenblatt!E74&lt;25,ROUND(B14*2.3%,2)," "))))</f>
        <v>#N/A</v>
      </c>
      <c r="C37" s="219" t="e">
        <f>IF(Datenblatt!F74&lt;6,ROUND(B8*0.8%,2),IF(Datenblatt!F74&lt;14,ROUND(B10*1.2%,2),IF(Datenblatt!F74&lt;18,ROUND(B12*1.4%,2),IF(Datenblatt!F74&lt;25,ROUND(B14*2.3%,2)," "))))</f>
        <v>#N/A</v>
      </c>
      <c r="D37" s="219" t="e">
        <f>IF(Datenblatt!G74&lt;6,ROUND(B8*0.8%,2),IF(Datenblatt!G74&lt;14,ROUND(B10*1.2%,2),IF(Datenblatt!G74&lt;18,ROUND(B12*1.4%,2),IF(Datenblatt!G74&lt;25,ROUND(B14*2.3%,2)," "))))</f>
        <v>#N/A</v>
      </c>
      <c r="E37" s="219" t="e">
        <f>IF(Datenblatt!H74&lt;6,ROUND(B8*0.8%,2),IF(Datenblatt!H74&lt;14,ROUND(B10*1.2%,2),IF(Datenblatt!H74&lt;18,ROUND(B12*1.4%,2),IF(Datenblatt!H74&lt;25,ROUND(B14*2.3%,2)," "))))</f>
        <v>#N/A</v>
      </c>
      <c r="F37" s="219" t="e">
        <f>IF(Datenblatt!I74&lt;6,ROUND(B8*0.8%,2),IF(Datenblatt!I74&lt;14,ROUND(B10*1.2%,2),IF(Datenblatt!I74&lt;18,ROUND(B12*1.4%,2),IF(Datenblatt!I74&lt;25,ROUND(B14*2.3%,2)," "))))</f>
        <v>#N/A</v>
      </c>
      <c r="G37" s="219" t="e">
        <f>IF(Datenblatt!J74&lt;6,ROUND(B8*0.8%,2),IF(Datenblatt!J74&lt;14,ROUND(B10*1.2%,2),IF(Datenblatt!J74&lt;18,ROUND(B12*1.4%,2),IF(Datenblatt!J74&lt;25,ROUND(B14*2.3%,2)," "))))</f>
        <v>#N/A</v>
      </c>
      <c r="H37" s="219" t="e">
        <f>IF(Datenblatt!K74&lt;6,ROUND(B8*0.8%,2),IF(Datenblatt!K74&lt;14,ROUND(B10*1.2%,2),IF(Datenblatt!K74&lt;18,ROUND(B12*1.4%,2),IF(Datenblatt!K74&lt;25,ROUND(B14*2.3%,2)," "))))</f>
        <v>#N/A</v>
      </c>
      <c r="I37" s="219" t="e">
        <f>IF(Datenblatt!L74&lt;6,ROUND(B8*0.8%,2),IF(Datenblatt!L74&lt;14,ROUND(B10*1.2%,2),IF(Datenblatt!L74&lt;18,ROUND(B12*1.4%,2),IF(Datenblatt!L74&lt;25,ROUND(B14*2.3%,2)," "))))</f>
        <v>#N/A</v>
      </c>
      <c r="J37" s="219" t="e">
        <f>IF(Datenblatt!M74&lt;6,ROUND(B8*0.8%,2),IF(Datenblatt!M74&lt;14,ROUND(B10*1.2%,2),IF(Datenblatt!M74&lt;18,ROUND(B12*1.4%,2),IF(Datenblatt!M74&lt;25,ROUND(B14*2.3%,2)," "))))</f>
        <v>#N/A</v>
      </c>
      <c r="K37" s="219" t="e">
        <f>IF(Datenblatt!N74&lt;6,ROUND(B8*0.8%,2),IF(Datenblatt!N74&lt;14,ROUND(B10*1.2%,2),IF(Datenblatt!N74&lt;18,ROUND(B12*1.4%,2),IF(Datenblatt!N74&lt;25,ROUND(B14*2.3%,2)," "))))</f>
        <v>#N/A</v>
      </c>
      <c r="L37" s="219" t="e">
        <f>IF(Datenblatt!O74&lt;6,ROUND(B8*0.8%,2),IF(Datenblatt!O74&lt;14,ROUND(B10*1.2%,2),IF(Datenblatt!O74&lt;18,ROUND(B12*1.4%,2),IF(Datenblatt!O74&lt;25,ROUND(B14*2.3%,2)," "))))</f>
        <v>#N/A</v>
      </c>
      <c r="M37" s="219" t="e">
        <f>IF(Datenblatt!P74&lt;6,ROUND(B8*0.8%,2),IF(Datenblatt!P74&lt;14,ROUND(B10*1.2%,2),IF(Datenblatt!P74&lt;18,ROUND(B12*1.4%,2),IF(Datenblatt!P74&lt;25,ROUND(B14*2.3%,2)," "))))</f>
        <v>#N/A</v>
      </c>
      <c r="N37" s="219" t="e">
        <f>IF(Datenblatt!Q74&lt;6,ROUND(B8*0.8%,2),IF(Datenblatt!Q74&lt;14,ROUND(B10*1.2%,2),IF(Datenblatt!Q74&lt;18,ROUND(B12*1.4%,2),IF(Datenblatt!Q74&lt;25,ROUND(B14*2.3%,2)," "))))</f>
        <v>#N/A</v>
      </c>
      <c r="O37" s="219" t="e">
        <f>IF(Datenblatt!R74&lt;6,ROUND(B8*0.8%,2),IF(Datenblatt!R74&lt;14,ROUND(B10*1.2%,2),IF(Datenblatt!R74&lt;18,ROUND(B12*1.4%,2),IF(Datenblatt!R74&lt;25,ROUND(B14*2.3%,2)," "))))</f>
        <v>#N/A</v>
      </c>
      <c r="P37" s="219" t="e">
        <f>IF(Datenblatt!S74&lt;6,ROUND(B8*0.8%,2),IF(Datenblatt!S74&lt;14,ROUND(B10*1.2%,2),IF(Datenblatt!S74&lt;18,ROUND(B12*1.4%,2),IF(Datenblatt!S74&lt;25,ROUND(B14*2.3%,2)," "))))</f>
        <v>#N/A</v>
      </c>
    </row>
    <row r="38" spans="1:19" x14ac:dyDescent="0.2">
      <c r="A38" s="28" t="s">
        <v>186</v>
      </c>
      <c r="B38" s="7"/>
    </row>
    <row r="39" spans="1:19" x14ac:dyDescent="0.2">
      <c r="A39" s="27" t="s">
        <v>187</v>
      </c>
      <c r="B39" s="9" t="str">
        <f>IF(Bedarfe!P6="1 Kind unter 7",B5*36%,IF(Bedarfe!P6="1 Kind ab 7",B5*12%,IF(Bedarfe!P6="2 Kinder unter 16",B5*36%,IF(Bedarfe!P6="2 Kinder ab 16",B5*24%,IF(Bedarfe!P6="1 Kind ab 7 und 1 Kind ab 16",B5*24%,IF(Bedarfe!P6="3 Kinder",B5*36%,IF(Bedarfe!P6="4 Kinder",B5*48%,IF(Bedarfe!P6="5 oder mehr Kinder",B5*60%," "))))))))</f>
        <v xml:space="preserve"> </v>
      </c>
    </row>
    <row r="40" spans="1:19" x14ac:dyDescent="0.2">
      <c r="A40" s="26" t="s">
        <v>188</v>
      </c>
      <c r="B40" s="28" t="s">
        <v>190</v>
      </c>
      <c r="C40" s="28" t="s">
        <v>191</v>
      </c>
      <c r="D40" s="28" t="s">
        <v>13</v>
      </c>
      <c r="E40" s="28" t="s">
        <v>14</v>
      </c>
      <c r="F40" s="28" t="s">
        <v>15</v>
      </c>
      <c r="G40" s="28" t="s">
        <v>16</v>
      </c>
      <c r="H40" s="26" t="s">
        <v>17</v>
      </c>
      <c r="I40" s="26" t="s">
        <v>18</v>
      </c>
      <c r="J40" s="26" t="s">
        <v>340</v>
      </c>
      <c r="K40" s="26" t="s">
        <v>341</v>
      </c>
      <c r="L40" s="26" t="s">
        <v>342</v>
      </c>
      <c r="M40" s="26" t="s">
        <v>343</v>
      </c>
      <c r="N40" s="26" t="s">
        <v>344</v>
      </c>
      <c r="O40" s="26" t="s">
        <v>345</v>
      </c>
      <c r="P40" s="164" t="s">
        <v>378</v>
      </c>
      <c r="Q40" s="164" t="s">
        <v>379</v>
      </c>
      <c r="R40" s="164" t="s">
        <v>380</v>
      </c>
    </row>
    <row r="41" spans="1:19" x14ac:dyDescent="0.2">
      <c r="A41" s="10" t="s">
        <v>189</v>
      </c>
      <c r="B41" s="34">
        <f>Bedarfe!P5+7*(-28)</f>
        <v>-196</v>
      </c>
      <c r="C41" s="34">
        <f>Bedarfe!Q5+7*(-28)</f>
        <v>-196</v>
      </c>
      <c r="D41" s="34">
        <f>Bedarfe!R5+7*(-28)</f>
        <v>-196</v>
      </c>
      <c r="E41" s="34">
        <f>Bedarfe!S5+7*(-28)</f>
        <v>-196</v>
      </c>
      <c r="F41" s="34">
        <f>Bedarfe!T5+7*(-28)</f>
        <v>-196</v>
      </c>
      <c r="G41" s="34">
        <f>Bedarfe!U5+7*(-28)</f>
        <v>-196</v>
      </c>
      <c r="H41" s="34">
        <f>Bedarfe!V5+7*(-28)</f>
        <v>-196</v>
      </c>
      <c r="I41" s="34">
        <f>Bedarfe!W5+7*(-28)</f>
        <v>-196</v>
      </c>
      <c r="J41" s="34">
        <f>Bedarfe!X5+7*(-28)</f>
        <v>-196</v>
      </c>
      <c r="K41" s="34">
        <f>Bedarfe!Y5+7*(-28)</f>
        <v>-196</v>
      </c>
      <c r="L41" s="34">
        <f>Bedarfe!Z5+7*(-28)</f>
        <v>-196</v>
      </c>
      <c r="M41" s="34">
        <f>Bedarfe!R17+7*(-28)</f>
        <v>-196</v>
      </c>
      <c r="N41" s="34">
        <f>Bedarfe!S17+7*(-28)</f>
        <v>-196</v>
      </c>
      <c r="O41" s="34">
        <f>Bedarfe!T17+7*(-28)</f>
        <v>-196</v>
      </c>
      <c r="P41" s="34">
        <f>Bedarfe!U17+7*(-28)</f>
        <v>-196</v>
      </c>
      <c r="Q41" s="34">
        <f>Bedarfe!V17+7*(-28)</f>
        <v>-196</v>
      </c>
      <c r="R41" s="34">
        <f>Bedarfe!W17+7*(-28)</f>
        <v>-196</v>
      </c>
    </row>
    <row r="42" spans="1:19" x14ac:dyDescent="0.2">
      <c r="A42" s="9"/>
      <c r="B42" s="16" t="e">
        <f>IF(Bedarfe!C13&gt;0,Bedarfe!C13*17%,Bedarfe!C12*17%)</f>
        <v>#VALUE!</v>
      </c>
      <c r="C42" s="16" t="e">
        <f>IF(Bedarfe!D13&gt;0,Bedarfe!D13*17%,Bedarfe!D12*17%)</f>
        <v>#VALUE!</v>
      </c>
      <c r="D42" s="16" t="e">
        <f>IF(Bedarfe!E13&gt;0,Bedarfe!E13*17%,Bedarfe!E12*17%)</f>
        <v>#VALUE!</v>
      </c>
      <c r="E42" s="16" t="e">
        <f>IF(Bedarfe!F13&gt;0,Bedarfe!F13*17%,Bedarfe!F12*17%)</f>
        <v>#VALUE!</v>
      </c>
      <c r="F42" s="16" t="e">
        <f>IF(Bedarfe!G13&gt;0,Bedarfe!G13*17%,Bedarfe!G12*17%)</f>
        <v>#VALUE!</v>
      </c>
      <c r="G42" s="16" t="e">
        <f>IF(Bedarfe!H13&gt;0,Bedarfe!H13*17%,Bedarfe!H12*17%)</f>
        <v>#VALUE!</v>
      </c>
      <c r="H42" s="16" t="e">
        <f>IF(Bedarfe!I13&gt;0,Bedarfe!I13*17%,Bedarfe!I12*17%)</f>
        <v>#VALUE!</v>
      </c>
      <c r="I42" s="16" t="e">
        <f>IF(Bedarfe!J13&gt;0,Bedarfe!J13*17%,Bedarfe!J12*17%)</f>
        <v>#VALUE!</v>
      </c>
      <c r="J42" s="16" t="e">
        <f>IF(Bedarfe!K13&gt;0,Bedarfe!K13*17%,Bedarfe!K12*17%)</f>
        <v>#VALUE!</v>
      </c>
      <c r="K42" s="16" t="e">
        <f>IF(Bedarfe!L13&gt;0,Bedarfe!L13*17%,Bedarfe!L12*17%)</f>
        <v>#VALUE!</v>
      </c>
      <c r="L42" s="16" t="e">
        <f>IF(Bedarfe!M13&gt;0,Bedarfe!M13*17%,Bedarfe!M12*17%)</f>
        <v>#VALUE!</v>
      </c>
      <c r="M42" s="16" t="e">
        <f>IF(Bedarfe!C55&gt;0,Bedarfe!C55*17%,Bedarfe!C54*17%)</f>
        <v>#VALUE!</v>
      </c>
      <c r="N42" s="16" t="e">
        <f>IF(Bedarfe!D55&gt;0,Bedarfe!D55*17%,Bedarfe!D54*17%)</f>
        <v>#VALUE!</v>
      </c>
      <c r="O42" s="16" t="e">
        <f>IF(Bedarfe!E55&gt;0,Bedarfe!E55*17%,Bedarfe!E54*17%)</f>
        <v>#VALUE!</v>
      </c>
      <c r="P42" s="16" t="e">
        <f>IF(Bedarfe!F55&gt;0,Bedarfe!F55*17%,Bedarfe!F54*17%)</f>
        <v>#VALUE!</v>
      </c>
      <c r="Q42" s="16" t="e">
        <f>IF(Bedarfe!G55&gt;0,Bedarfe!G55*17%,Bedarfe!G54*17%)</f>
        <v>#VALUE!</v>
      </c>
      <c r="R42" s="16" t="e">
        <f>IF(Bedarfe!H55&gt;0,Bedarfe!H55*17%,Bedarfe!H54*17%)</f>
        <v>#VALUE!</v>
      </c>
    </row>
    <row r="43" spans="1:19" x14ac:dyDescent="0.2">
      <c r="A43" s="13" t="e">
        <f>IF(YEAR(B2)+MONTH(B2)&lt;YEAR(B41)+MONTH(B41),0,IF(YEAR(B2)+MONTH(B2)=YEAR(B41)+MONTH(B41),(B26-DATEDIF(DAY(B2),DAY(B41),"d"))*B42/30,B42))</f>
        <v>#NUM!</v>
      </c>
      <c r="B43" s="13" t="e">
        <f>IF(B46&lt;=B2,B42,0)</f>
        <v>#NUM!</v>
      </c>
      <c r="C43" s="13" t="e">
        <f>IF(C46&lt;=B2,C42,0)</f>
        <v>#NUM!</v>
      </c>
      <c r="D43" s="13" t="e">
        <f>IF(D46&lt;=B2,D42,0)</f>
        <v>#NUM!</v>
      </c>
      <c r="E43" s="13" t="e">
        <f>IF(E46&lt;=B2,E42,0)</f>
        <v>#NUM!</v>
      </c>
      <c r="F43" s="13" t="e">
        <f>IF(F46&lt;=B2,F42,0)</f>
        <v>#NUM!</v>
      </c>
      <c r="G43" s="13" t="e">
        <f>IF(G46&lt;=B2,G42,0)</f>
        <v>#NUM!</v>
      </c>
      <c r="H43" s="13" t="e">
        <f>IF(H46&lt;=B2,H42,0)</f>
        <v>#NUM!</v>
      </c>
      <c r="I43" s="13" t="e">
        <f>IF(I46&lt;=B2,I42,0)</f>
        <v>#NUM!</v>
      </c>
      <c r="J43" s="13" t="e">
        <f>IF(J46&lt;=B2,J42,0)</f>
        <v>#NUM!</v>
      </c>
      <c r="K43" s="13" t="e">
        <f>IF(K46&lt;=B2,K42,0)</f>
        <v>#NUM!</v>
      </c>
      <c r="L43" s="13" t="e">
        <f>IF(L46&lt;=B2,L42,0)</f>
        <v>#NUM!</v>
      </c>
      <c r="M43" s="13" t="e">
        <f>IF(M46&lt;=B2,M42,0)</f>
        <v>#NUM!</v>
      </c>
      <c r="N43" s="13" t="e">
        <f>IF(N46&lt;=B2,N42,0)</f>
        <v>#NUM!</v>
      </c>
      <c r="O43" s="13" t="e">
        <f>IF(O46&lt;=B2,O42,0)</f>
        <v>#NUM!</v>
      </c>
      <c r="P43" s="13" t="e">
        <f>IF(P46&lt;=B2,P42,0)</f>
        <v>#NUM!</v>
      </c>
      <c r="Q43" s="13" t="e">
        <f>IF(Q46&lt;=B2,Q42,0)</f>
        <v>#NUM!</v>
      </c>
      <c r="R43" s="13" t="e">
        <f>IF(R46&lt;=B2,R42,0)</f>
        <v>#NUM!</v>
      </c>
    </row>
    <row r="44" spans="1:19" x14ac:dyDescent="0.2">
      <c r="A44" s="31" t="s">
        <v>171</v>
      </c>
      <c r="B44" s="12" t="str">
        <f>IF(Bedarfe!C13&gt;0,Bedarfe!C13,Bedarfe!C12)</f>
        <v>Familien-</v>
      </c>
      <c r="C44" s="12" t="str">
        <f>IF(Bedarfe!D22="ja",0,IF(Bedarfe!D13&gt;0,Bedarfe!D13,Bedarfe!D12))</f>
        <v>stand?</v>
      </c>
      <c r="D44" s="12" t="str">
        <f>IF(Bedarfe!E13&gt;0,Bedarfe!E13,Bedarfe!E12)</f>
        <v xml:space="preserve"> </v>
      </c>
      <c r="E44" s="12" t="str">
        <f>IF(Bedarfe!F13&gt;0,Bedarfe!F13,Bedarfe!F12)</f>
        <v xml:space="preserve"> </v>
      </c>
      <c r="F44" s="12" t="str">
        <f>IF(Bedarfe!G13&gt;0,Bedarfe!G13,Bedarfe!G12)</f>
        <v xml:space="preserve"> </v>
      </c>
      <c r="G44" s="12" t="str">
        <f>IF(Bedarfe!H13&gt;0,Bedarfe!H13,Bedarfe!H12)</f>
        <v xml:space="preserve"> </v>
      </c>
      <c r="H44" s="12" t="str">
        <f>IF(Bedarfe!I13&gt;0,Bedarfe!I13,Bedarfe!I12)</f>
        <v xml:space="preserve"> </v>
      </c>
      <c r="I44" s="12" t="str">
        <f>IF(Bedarfe!J13&gt;0,Bedarfe!J13,Bedarfe!J12)</f>
        <v xml:space="preserve"> </v>
      </c>
      <c r="J44" s="12" t="str">
        <f>IF(Bedarfe!K13&gt;0,Bedarfe!K13,Bedarfe!K12)</f>
        <v xml:space="preserve"> </v>
      </c>
      <c r="K44" s="12" t="str">
        <f>IF(Bedarfe!L13&gt;0,Bedarfe!L13,Bedarfe!L12)</f>
        <v xml:space="preserve"> </v>
      </c>
      <c r="L44" s="12" t="str">
        <f>IF(Bedarfe!M13&gt;0,Bedarfe!M13,Bedarfe!M12)</f>
        <v xml:space="preserve"> </v>
      </c>
      <c r="M44" s="12" t="str">
        <f>IF(Bedarfe!C55&gt;0,Bedarfe!C55,Bedarfe!C54)</f>
        <v xml:space="preserve"> </v>
      </c>
      <c r="N44" s="12" t="str">
        <f>IF(Bedarfe!D55&gt;0,Bedarfe!D55,Bedarfe!D54)</f>
        <v xml:space="preserve"> </v>
      </c>
      <c r="O44" s="12" t="str">
        <f>IF(Bedarfe!E55&gt;0,Bedarfe!E55,Bedarfe!E54)</f>
        <v xml:space="preserve"> </v>
      </c>
      <c r="P44" s="12" t="str">
        <f>IF(Bedarfe!F55&gt;0,Bedarfe!F55,Bedarfe!F54)</f>
        <v xml:space="preserve"> </v>
      </c>
      <c r="Q44" s="12" t="str">
        <f>IF(Bedarfe!G55&gt;0,Bedarfe!G55,Bedarfe!G54)</f>
        <v xml:space="preserve"> </v>
      </c>
      <c r="R44" s="12" t="str">
        <f>IF(Bedarfe!H55&gt;0,Bedarfe!H55,Bedarfe!H54)</f>
        <v xml:space="preserve"> </v>
      </c>
      <c r="S44" t="s">
        <v>287</v>
      </c>
    </row>
    <row r="45" spans="1:19" x14ac:dyDescent="0.2">
      <c r="A45" s="46" t="s">
        <v>188</v>
      </c>
      <c r="B45" s="12" t="e">
        <f>IF(Bedarfe!C22="ja",0,Bedarfe!C14)</f>
        <v>#N/A</v>
      </c>
      <c r="C45" s="12" t="e">
        <f>IF(Bedarfe!D22="ja",0,Bedarfe!D14)</f>
        <v>#N/A</v>
      </c>
      <c r="D45" s="23"/>
      <c r="E45" s="23"/>
      <c r="F45" s="23"/>
      <c r="G45" s="23"/>
      <c r="H45" s="23"/>
      <c r="I45" s="23"/>
      <c r="J45" s="23"/>
      <c r="K45" s="23"/>
      <c r="L45" s="23"/>
      <c r="M45" s="23"/>
      <c r="N45" s="23"/>
      <c r="O45" s="23"/>
      <c r="P45" s="23"/>
      <c r="Q45" s="23"/>
      <c r="R45" s="23"/>
    </row>
    <row r="46" spans="1:19" x14ac:dyDescent="0.2">
      <c r="B46" s="206" t="e">
        <f t="shared" ref="B46:R46" si="5">IF(DAY(B41)=1,B41,(EDATE(B41,1)-(DAY(B41)-1)))</f>
        <v>#NUM!</v>
      </c>
      <c r="C46" s="206" t="e">
        <f t="shared" si="5"/>
        <v>#NUM!</v>
      </c>
      <c r="D46" s="206" t="e">
        <f t="shared" si="5"/>
        <v>#NUM!</v>
      </c>
      <c r="E46" s="206" t="e">
        <f t="shared" si="5"/>
        <v>#NUM!</v>
      </c>
      <c r="F46" s="206" t="e">
        <f t="shared" si="5"/>
        <v>#NUM!</v>
      </c>
      <c r="G46" s="206" t="e">
        <f t="shared" si="5"/>
        <v>#NUM!</v>
      </c>
      <c r="H46" s="206" t="e">
        <f t="shared" si="5"/>
        <v>#NUM!</v>
      </c>
      <c r="I46" s="206" t="e">
        <f t="shared" si="5"/>
        <v>#NUM!</v>
      </c>
      <c r="J46" s="206" t="e">
        <f t="shared" si="5"/>
        <v>#NUM!</v>
      </c>
      <c r="K46" s="206" t="e">
        <f t="shared" si="5"/>
        <v>#NUM!</v>
      </c>
      <c r="L46" s="206" t="e">
        <f t="shared" si="5"/>
        <v>#NUM!</v>
      </c>
      <c r="M46" s="206" t="e">
        <f t="shared" si="5"/>
        <v>#NUM!</v>
      </c>
      <c r="N46" s="206" t="e">
        <f t="shared" si="5"/>
        <v>#NUM!</v>
      </c>
      <c r="O46" s="206" t="e">
        <f t="shared" si="5"/>
        <v>#NUM!</v>
      </c>
      <c r="P46" s="206" t="e">
        <f t="shared" si="5"/>
        <v>#NUM!</v>
      </c>
      <c r="Q46" s="206" t="e">
        <f t="shared" si="5"/>
        <v>#NUM!</v>
      </c>
      <c r="R46" s="206" t="e">
        <f t="shared" si="5"/>
        <v>#NUM!</v>
      </c>
    </row>
    <row r="47" spans="1:19" ht="15" x14ac:dyDescent="0.25">
      <c r="A47" s="6" t="s">
        <v>280</v>
      </c>
    </row>
    <row r="49" spans="1:16" x14ac:dyDescent="0.2">
      <c r="A49" s="23" t="s">
        <v>281</v>
      </c>
      <c r="B49" s="12">
        <f>IF(Bedarfe!C22="ja",Bedarfe!C16,0)</f>
        <v>0</v>
      </c>
      <c r="C49" s="12">
        <f>IF(Bedarfe!D22="ja",Bedarfe!D16,0)</f>
        <v>0</v>
      </c>
    </row>
    <row r="50" spans="1:16" x14ac:dyDescent="0.2">
      <c r="A50" s="23" t="s">
        <v>282</v>
      </c>
      <c r="B50" s="12" t="e">
        <f>IF(Bedarfe!C22="nein",AS!F119+AS!F120,Bedarfe!C34)</f>
        <v>#NUM!</v>
      </c>
      <c r="C50" s="12" t="e">
        <f>IF(Bedarfe!D22="nein",(EP!F119+EP!F120),Bedarfe!D34)</f>
        <v>#NUM!</v>
      </c>
      <c r="D50" s="12"/>
    </row>
    <row r="52" spans="1:16" ht="15" x14ac:dyDescent="0.25">
      <c r="A52" s="22" t="s">
        <v>290</v>
      </c>
      <c r="D52" t="s">
        <v>294</v>
      </c>
      <c r="L52" s="14"/>
      <c r="M52" s="14"/>
    </row>
    <row r="53" spans="1:16" x14ac:dyDescent="0.2">
      <c r="C53" s="3" t="s">
        <v>190</v>
      </c>
      <c r="D53" s="4"/>
      <c r="E53" s="3" t="s">
        <v>191</v>
      </c>
      <c r="F53" s="4"/>
      <c r="G53" s="3" t="s">
        <v>293</v>
      </c>
      <c r="H53" s="4"/>
      <c r="L53" s="14"/>
      <c r="M53" s="14"/>
      <c r="N53" s="14"/>
      <c r="O53" s="14"/>
      <c r="P53" s="14"/>
    </row>
    <row r="54" spans="1:16" x14ac:dyDescent="0.2">
      <c r="C54" s="18" t="s">
        <v>291</v>
      </c>
      <c r="D54" s="18" t="s">
        <v>292</v>
      </c>
      <c r="E54" s="23" t="s">
        <v>291</v>
      </c>
      <c r="F54" s="23" t="s">
        <v>292</v>
      </c>
      <c r="G54" s="51" t="s">
        <v>190</v>
      </c>
      <c r="H54" s="51" t="s">
        <v>191</v>
      </c>
      <c r="L54" s="14"/>
      <c r="M54" s="14"/>
      <c r="N54" s="14"/>
      <c r="O54" s="14"/>
      <c r="P54" s="14"/>
    </row>
    <row r="55" spans="1:16" x14ac:dyDescent="0.2">
      <c r="A55" s="1275" t="s">
        <v>288</v>
      </c>
      <c r="B55" s="1275"/>
      <c r="C55" s="12" t="e">
        <f>AS!F120+Bedarfe!C35</f>
        <v>#NUM!</v>
      </c>
      <c r="D55" s="12" t="e">
        <f>IF(AND(BG!F19="Student",AS!F120-Bedarfe!C17&lt;0),0,IF(BG!F19="Student",AS!F120-Bedarfe!C17,IF(AS!F120-Bedarfe!C16&lt;0,0,AS!F120-Bedarfe!C16)))</f>
        <v>#NUM!</v>
      </c>
      <c r="E55" s="49" t="e">
        <f>IF(BG!D8="alleinerziehend",0,EP!F120)</f>
        <v>#NUM!</v>
      </c>
      <c r="F55" s="12" t="e">
        <f>IF(BG!D8="alleinerziehend",0,IF(AND(BG!F20="Student",EP!F120-Bedarfe!D17&lt;0),0,IF(BG!F20="Student",EP!F120-Bedarfe!D17,IF(EP!F120-Bedarfe!D16&lt;0,0,EP!F120-Bedarfe!D16))))</f>
        <v>#NUM!</v>
      </c>
      <c r="G55" s="12" t="e">
        <f>IF(Bedarfe!C22="ja",Datenblatt!D58,Datenblatt!C58)</f>
        <v>#NUM!</v>
      </c>
      <c r="H55" s="12" t="e">
        <f>IF(Bedarfe!D22="ja",Datenblatt!F58,Datenblatt!E58)</f>
        <v>#NUM!</v>
      </c>
      <c r="L55" s="14"/>
      <c r="M55" s="14"/>
      <c r="N55" s="14"/>
      <c r="O55" s="14"/>
      <c r="P55" s="14"/>
    </row>
    <row r="56" spans="1:16" x14ac:dyDescent="0.2">
      <c r="A56" s="1275" t="s">
        <v>299</v>
      </c>
      <c r="B56" s="1275"/>
      <c r="C56" s="12">
        <f>B71</f>
        <v>0</v>
      </c>
      <c r="D56" s="12">
        <f>B71</f>
        <v>0</v>
      </c>
      <c r="E56" s="12">
        <f>C71</f>
        <v>0</v>
      </c>
      <c r="F56" s="12">
        <f>C71</f>
        <v>0</v>
      </c>
      <c r="G56" s="12">
        <f>IF(Bedarfe!C22="ja",Datenblatt!D56,Datenblatt!C56)</f>
        <v>0</v>
      </c>
      <c r="H56" s="12">
        <f>IF(Bedarfe!D22="ja",Datenblatt!F56,Datenblatt!E56)</f>
        <v>0</v>
      </c>
      <c r="L56" s="14"/>
      <c r="M56" s="14"/>
      <c r="N56" s="14"/>
      <c r="O56" s="14"/>
      <c r="P56" s="14"/>
    </row>
    <row r="57" spans="1:16" x14ac:dyDescent="0.2">
      <c r="A57" s="1275" t="s">
        <v>84</v>
      </c>
      <c r="B57" s="1275"/>
      <c r="C57" s="12" t="e">
        <f>C55+C56</f>
        <v>#NUM!</v>
      </c>
      <c r="D57" s="12" t="e">
        <f>D55+D56</f>
        <v>#NUM!</v>
      </c>
      <c r="E57" s="12" t="e">
        <f>E55+E56</f>
        <v>#NUM!</v>
      </c>
      <c r="F57" s="12" t="e">
        <f>F55+F56</f>
        <v>#NUM!</v>
      </c>
      <c r="L57" s="14"/>
      <c r="M57" s="14"/>
      <c r="N57" s="14"/>
      <c r="O57" s="14"/>
      <c r="P57" s="14"/>
    </row>
    <row r="58" spans="1:16" x14ac:dyDescent="0.2">
      <c r="A58" s="1275" t="s">
        <v>300</v>
      </c>
      <c r="B58" s="1275"/>
      <c r="C58" s="12" t="e">
        <f>C57</f>
        <v>#NUM!</v>
      </c>
      <c r="D58" s="12" t="e">
        <f>D57</f>
        <v>#NUM!</v>
      </c>
      <c r="E58" s="12" t="e">
        <f>E57</f>
        <v>#NUM!</v>
      </c>
      <c r="F58" s="12" t="e">
        <f>F57</f>
        <v>#NUM!</v>
      </c>
      <c r="L58" s="14"/>
      <c r="M58" s="14"/>
      <c r="N58" s="14"/>
      <c r="O58" s="14"/>
      <c r="P58" s="14"/>
    </row>
    <row r="59" spans="1:16" x14ac:dyDescent="0.2">
      <c r="A59" s="1275" t="s">
        <v>289</v>
      </c>
      <c r="B59" s="1275"/>
      <c r="C59" s="12" t="e">
        <f>AS!F119</f>
        <v>#NUM!</v>
      </c>
      <c r="D59" s="15" t="e">
        <f>IF(D58&gt;0,C59,IF(AND(BG!F19="Student",(C59+C58-Bedarfe!C17)&lt;0),0,IF(BG!F19="Student",(C59+C58-Bedarfe!C17),IF((C59+C58-Bedarfe!C16)&lt;0,0,(C59+C58-Bedarfe!C16)))))</f>
        <v>#NUM!</v>
      </c>
      <c r="E59" s="49" t="e">
        <f>IF(BG!D8="alleinerziehend",0,EP!F119)</f>
        <v>#NUM!</v>
      </c>
      <c r="F59" s="15" t="e">
        <f>IF(BG!D8="alleinerziehend",0,IF(F58&gt;0,E59,IF(AND(BG!F20="Student",(E58+E59-Bedarfe!D17)&lt;0),0,IF(BG!F20="Student",(E58+E59-Bedarfe!D17), IF((E59+E58-Bedarfe!D16)&lt;0,0,(E59+E58-Bedarfe!D16))))))</f>
        <v>#NUM!</v>
      </c>
      <c r="G59" s="12" t="e">
        <f>IF(Bedarfe!C22="ja",Datenblatt!D59,Datenblatt!C59)</f>
        <v>#NUM!</v>
      </c>
      <c r="H59" s="12" t="e">
        <f>IF(Bedarfe!D22="ja",Datenblatt!F59,Datenblatt!E59)</f>
        <v>#NUM!</v>
      </c>
      <c r="L59" s="14"/>
      <c r="M59" s="14"/>
      <c r="N59" s="14"/>
      <c r="O59" s="14"/>
      <c r="P59" s="14"/>
    </row>
    <row r="60" spans="1:16" x14ac:dyDescent="0.2">
      <c r="A60" s="1275" t="s">
        <v>48</v>
      </c>
      <c r="B60" s="1275"/>
      <c r="C60" s="12" t="e">
        <f>C58+C59</f>
        <v>#NUM!</v>
      </c>
      <c r="D60" s="12" t="e">
        <f>D58+D59</f>
        <v>#NUM!</v>
      </c>
      <c r="E60" s="12" t="e">
        <f>E58+E59</f>
        <v>#NUM!</v>
      </c>
      <c r="F60" s="12" t="e">
        <f>F58+F59</f>
        <v>#NUM!</v>
      </c>
      <c r="L60" s="14"/>
      <c r="M60" s="14"/>
      <c r="N60" s="14"/>
      <c r="O60" s="14"/>
      <c r="P60" s="14"/>
    </row>
    <row r="63" spans="1:16" ht="15" x14ac:dyDescent="0.25">
      <c r="A63" s="6" t="s">
        <v>297</v>
      </c>
    </row>
    <row r="65" spans="1:20" x14ac:dyDescent="0.2">
      <c r="B65" s="23" t="s">
        <v>190</v>
      </c>
      <c r="C65" s="23" t="s">
        <v>191</v>
      </c>
      <c r="D65" s="23" t="s">
        <v>306</v>
      </c>
      <c r="E65" s="23" t="s">
        <v>307</v>
      </c>
      <c r="F65" s="23" t="s">
        <v>308</v>
      </c>
      <c r="G65" s="23" t="s">
        <v>309</v>
      </c>
      <c r="H65" s="23" t="s">
        <v>310</v>
      </c>
      <c r="I65" s="23" t="s">
        <v>311</v>
      </c>
      <c r="J65" s="23" t="s">
        <v>312</v>
      </c>
      <c r="K65" s="23" t="s">
        <v>348</v>
      </c>
      <c r="L65" s="51" t="s">
        <v>349</v>
      </c>
      <c r="M65" s="51" t="s">
        <v>350</v>
      </c>
      <c r="N65" s="51" t="s">
        <v>351</v>
      </c>
      <c r="O65" s="51" t="s">
        <v>352</v>
      </c>
      <c r="P65" s="51" t="s">
        <v>353</v>
      </c>
      <c r="Q65" s="51" t="s">
        <v>387</v>
      </c>
      <c r="R65" s="51" t="s">
        <v>388</v>
      </c>
      <c r="S65" s="51" t="s">
        <v>389</v>
      </c>
    </row>
    <row r="66" spans="1:20" x14ac:dyDescent="0.2">
      <c r="A66" t="s">
        <v>299</v>
      </c>
      <c r="B66" s="12">
        <f>IF(Vermögen!E10-Vermögen!E12-Vermögen!E13&lt;0,0,Vermögen!E10-Vermögen!E12-Vermögen!E13)</f>
        <v>0</v>
      </c>
      <c r="C66" s="12">
        <f>IF(Vermögen!F10-Vermögen!F12-Vermögen!F13&lt;0,0,Vermögen!F10-Vermögen!F12-Vermögen!F13)</f>
        <v>0</v>
      </c>
      <c r="D66" s="12">
        <f>B66+C66</f>
        <v>0</v>
      </c>
      <c r="E66" s="12">
        <f>IF(Vermögen!G10-Vermögen!G12-Vermögen!G13&lt;0,0,Vermögen!G10-Vermögen!G12-Vermögen!G13)</f>
        <v>0</v>
      </c>
      <c r="F66" s="12">
        <f>IF(Vermögen!H10-Vermögen!H12-Vermögen!H13&lt;0,0,Vermögen!H10-Vermögen!H12-Vermögen!H13)</f>
        <v>0</v>
      </c>
      <c r="G66" s="12">
        <f>IF(Vermögen!I10-Vermögen!I12-Vermögen!I13&lt;0,0,Vermögen!I10-Vermögen!I12-Vermögen!I13)</f>
        <v>0</v>
      </c>
      <c r="H66" s="12">
        <f>IF(Vermögen!J10-Vermögen!J12-Vermögen!J13&lt;0,0,Vermögen!J10-Vermögen!J12-Vermögen!J13)</f>
        <v>0</v>
      </c>
      <c r="I66" s="12">
        <f>IF(Vermögen!K10-Vermögen!K12-Vermögen!K13&lt;0,0,Vermögen!K10-Vermögen!K12-Vermögen!K13)</f>
        <v>0</v>
      </c>
      <c r="J66" s="12">
        <f>IF(Vermögen!L10-Vermögen!L12-Vermögen!L13&lt;0,0,Vermögen!L10-Vermögen!L12-Vermögen!L13)</f>
        <v>0</v>
      </c>
      <c r="K66" s="12">
        <f>IF(Vermögen!M10-Vermögen!M12-Vermögen!M13&lt;0,0,Vermögen!M10-Vermögen!M12-Vermögen!M13)</f>
        <v>0</v>
      </c>
      <c r="L66" s="12">
        <f>IF(Vermögen!E28-Vermögen!E30-Vermögen!E31&lt;0,0,Vermögen!E28-Vermögen!E30-Vermögen!E31)</f>
        <v>0</v>
      </c>
      <c r="M66" s="12">
        <f>IF(Vermögen!F28-Vermögen!F30-Vermögen!F31&lt;0,0,Vermögen!F28-Vermögen!F30-Vermögen!F31)</f>
        <v>0</v>
      </c>
      <c r="N66" s="12">
        <f>IF(Vermögen!G28-Vermögen!G30-Vermögen!G31&lt;0,0,Vermögen!G28-Vermögen!G30-Vermögen!G31)</f>
        <v>0</v>
      </c>
      <c r="O66" s="12">
        <f>IF(Vermögen!H28-Vermögen!H30-Vermögen!H31&lt;0,0,Vermögen!H28-Vermögen!H30-Vermögen!H31)</f>
        <v>0</v>
      </c>
      <c r="P66" s="12">
        <f>IF(Vermögen!I28-Vermögen!I30-Vermögen!I31&lt;0,0,Vermögen!I28-Vermögen!I30-Vermögen!I31)</f>
        <v>0</v>
      </c>
      <c r="Q66" s="12">
        <f>IF(Vermögen!J28-Vermögen!J30-Vermögen!J31&lt;0,0,Vermögen!J28-Vermögen!J30-Vermögen!J31)</f>
        <v>0</v>
      </c>
      <c r="R66" s="12">
        <f>IF(Vermögen!K28-Vermögen!K30-Vermögen!K31&lt;0,0,Vermögen!K28-Vermögen!K30-Vermögen!K31)</f>
        <v>0</v>
      </c>
      <c r="S66" s="12">
        <f>IF(Vermögen!L28-Vermögen!L30-Vermögen!L31&lt;0,0,Vermögen!L28-Vermögen!L30-Vermögen!L31)</f>
        <v>0</v>
      </c>
    </row>
    <row r="67" spans="1:20" x14ac:dyDescent="0.2">
      <c r="A67" t="s">
        <v>368</v>
      </c>
      <c r="B67" s="12">
        <f>B74*150</f>
        <v>0</v>
      </c>
      <c r="C67" s="12">
        <f>C74*150</f>
        <v>0</v>
      </c>
      <c r="D67" s="12">
        <f>B67+C67</f>
        <v>0</v>
      </c>
      <c r="E67" s="12">
        <f>Vermögen!G11</f>
        <v>3100</v>
      </c>
      <c r="F67" s="12">
        <f>Vermögen!H11</f>
        <v>3100</v>
      </c>
      <c r="G67" s="12">
        <f>Vermögen!I11</f>
        <v>3100</v>
      </c>
      <c r="H67" s="12">
        <f>Vermögen!J11</f>
        <v>3100</v>
      </c>
      <c r="I67" s="12">
        <f>Vermögen!K11</f>
        <v>3100</v>
      </c>
      <c r="J67" s="12">
        <f>Vermögen!L11</f>
        <v>3100</v>
      </c>
      <c r="K67" s="12">
        <f>Vermögen!M11</f>
        <v>3100</v>
      </c>
      <c r="L67" s="12">
        <f>Vermögen!E29</f>
        <v>3100</v>
      </c>
      <c r="M67" s="12">
        <f>Vermögen!F29</f>
        <v>3100</v>
      </c>
      <c r="N67" s="12">
        <f>Vermögen!G29</f>
        <v>3100</v>
      </c>
      <c r="O67" s="12">
        <f>Vermögen!H29</f>
        <v>3100</v>
      </c>
      <c r="P67" s="12">
        <f>Vermögen!I29</f>
        <v>3100</v>
      </c>
      <c r="Q67" s="12">
        <f>Vermögen!J29</f>
        <v>3100</v>
      </c>
      <c r="R67" s="12">
        <f>Vermögen!K29</f>
        <v>3100</v>
      </c>
      <c r="S67" s="12">
        <f>Vermögen!L29</f>
        <v>3100</v>
      </c>
    </row>
    <row r="68" spans="1:20" x14ac:dyDescent="0.2">
      <c r="B68" s="12">
        <f>B66-B67</f>
        <v>0</v>
      </c>
      <c r="C68" s="12">
        <f>C66-C67</f>
        <v>0</v>
      </c>
      <c r="D68" s="12">
        <f>D66-D67</f>
        <v>0</v>
      </c>
      <c r="E68" s="12">
        <f>Vermögen!G14</f>
        <v>0</v>
      </c>
      <c r="F68" s="12">
        <f>Vermögen!H14</f>
        <v>0</v>
      </c>
      <c r="G68" s="12">
        <f>Vermögen!I14</f>
        <v>0</v>
      </c>
      <c r="H68" s="12">
        <f>Vermögen!J14</f>
        <v>0</v>
      </c>
      <c r="I68" s="12">
        <f>Vermögen!K14</f>
        <v>0</v>
      </c>
      <c r="J68" s="12">
        <f>Vermögen!L14</f>
        <v>0</v>
      </c>
      <c r="K68" s="12">
        <f>Vermögen!M14</f>
        <v>0</v>
      </c>
      <c r="L68" s="12">
        <f>Vermögen!E32</f>
        <v>0</v>
      </c>
      <c r="M68" s="12">
        <f>Vermögen!F32</f>
        <v>0</v>
      </c>
      <c r="N68" s="12">
        <f>Vermögen!G32</f>
        <v>0</v>
      </c>
      <c r="O68" s="12">
        <f>Vermögen!H32</f>
        <v>0</v>
      </c>
      <c r="P68" s="12">
        <f>Vermögen!I32</f>
        <v>0</v>
      </c>
      <c r="Q68" s="12">
        <f>Vermögen!J32</f>
        <v>0</v>
      </c>
      <c r="R68" s="12">
        <f>Vermögen!K32</f>
        <v>0</v>
      </c>
      <c r="S68" s="12">
        <f>Vermögen!L32</f>
        <v>0</v>
      </c>
    </row>
    <row r="69" spans="1:20" x14ac:dyDescent="0.2">
      <c r="A69" t="s">
        <v>369</v>
      </c>
      <c r="B69" s="12">
        <f>IF(B68-750&lt;0,0,B68-750)</f>
        <v>0</v>
      </c>
      <c r="C69" s="12">
        <f>IF(C68-750&lt;0,0,C68-750)</f>
        <v>0</v>
      </c>
      <c r="D69" s="12">
        <f>B69+C69</f>
        <v>0</v>
      </c>
      <c r="E69" s="12">
        <f>750-Vermögen!G15</f>
        <v>750</v>
      </c>
      <c r="F69" s="12">
        <f>IF(BG!C22=ISBLANK(0),0,750-Vermögen!H15)</f>
        <v>0</v>
      </c>
      <c r="G69" s="12">
        <f>IF(BG!C23=ISBLANK(0),0,750-Vermögen!I15)</f>
        <v>0</v>
      </c>
      <c r="H69" s="12">
        <f>IF(BG!C24=ISBLANK(0),0,750-Vermögen!J15)</f>
        <v>0</v>
      </c>
      <c r="I69" s="12">
        <f>IF(BG!C25=ISBLANK(0),0,750-Vermögen!K15)</f>
        <v>0</v>
      </c>
      <c r="J69" s="12">
        <f>IF(BG!C26=ISBLANK(0),0,750-Vermögen!L15)</f>
        <v>0</v>
      </c>
      <c r="K69" s="12">
        <f>IF(BG!C27=ISBLANK(0),0,750-Vermögen!M15)</f>
        <v>0</v>
      </c>
      <c r="L69" s="12">
        <f>IF(BG!C28=ISBLANK(0),0,750-Vermögen!E33)</f>
        <v>0</v>
      </c>
      <c r="M69" s="12">
        <f>IF(BG!C29=ISBLANK(0),0,750-Vermögen!F33)</f>
        <v>0</v>
      </c>
      <c r="N69" s="12">
        <f>IF(BG!C30=ISBLANK(0),0,750-Vermögen!G33)</f>
        <v>0</v>
      </c>
      <c r="O69" s="12">
        <f>IF(BG!C31=ISBLANK(0),0,750-Vermögen!H33)</f>
        <v>0</v>
      </c>
      <c r="P69" s="12">
        <f>IF(BG!C32=ISBLANK(0),0,750-Vermögen!I33)</f>
        <v>0</v>
      </c>
      <c r="Q69" s="12">
        <f>IF(BG!C33=ISBLANK(0),0,750-Vermögen!J33)</f>
        <v>0</v>
      </c>
      <c r="R69" s="12">
        <f>IF(BG!C34=ISBLANK(0),0,750-Vermögen!K33)</f>
        <v>0</v>
      </c>
      <c r="S69" s="12">
        <f>IF(BG!C35=ISBLANK(0),0,750-Vermögen!L33)</f>
        <v>0</v>
      </c>
      <c r="T69" s="161">
        <f>SUM(E69:S69)</f>
        <v>750</v>
      </c>
    </row>
    <row r="70" spans="1:20" x14ac:dyDescent="0.2">
      <c r="A70" t="s">
        <v>370</v>
      </c>
      <c r="B70" s="12">
        <f>IF(AND(B67&gt;0,C67=0),B69-T69,IF(AND(B69&gt;0,C68&lt;0),B69-T69+C68-(750-Vermögen!F15),IF(AND(B69&gt;0,C68&gt;=0),B69-(T69+(750-Vermögen!F15)),IF(B69=0,0))))</f>
        <v>0</v>
      </c>
      <c r="C70" s="12">
        <f>IF(C69=0,0,IF(AND(B70&lt;0,B68&lt;0),C69+B70+B68-(750-Vermögen!E15),IF(AND(B70&lt;0,B68&gt;=0),C69+B70-(750-Vermögen!E15),IF(B68&lt;0,(C69+B68-T69-750),IF(B71&gt;0,C69)))))</f>
        <v>0</v>
      </c>
      <c r="D70" s="23"/>
      <c r="E70" s="12"/>
      <c r="F70" s="12"/>
      <c r="G70" s="12"/>
      <c r="H70" s="12"/>
      <c r="I70" s="12"/>
      <c r="J70" s="12"/>
      <c r="K70" s="23"/>
      <c r="L70" s="23"/>
      <c r="M70" s="23"/>
      <c r="N70" s="23"/>
      <c r="O70" s="23"/>
      <c r="P70" s="23"/>
      <c r="Q70" s="23"/>
      <c r="R70" s="23"/>
      <c r="S70" s="23"/>
    </row>
    <row r="71" spans="1:20" x14ac:dyDescent="0.2">
      <c r="B71" s="12">
        <f>IF(B70&lt;0,0,B70)</f>
        <v>0</v>
      </c>
      <c r="C71" s="12">
        <f>IF(C70&lt;0,0,C70)</f>
        <v>0</v>
      </c>
      <c r="D71" s="23"/>
      <c r="E71" s="12"/>
      <c r="F71" s="12"/>
      <c r="G71" s="12"/>
      <c r="H71" s="12"/>
      <c r="I71" s="12"/>
      <c r="J71" s="12"/>
      <c r="K71" s="23"/>
      <c r="L71" s="23"/>
      <c r="M71" s="23"/>
      <c r="N71" s="23"/>
      <c r="O71" s="23"/>
      <c r="P71" s="23"/>
      <c r="Q71" s="23"/>
      <c r="R71" s="23"/>
      <c r="S71" s="23"/>
    </row>
    <row r="72" spans="1:20" x14ac:dyDescent="0.2">
      <c r="B72" s="12"/>
      <c r="C72" s="12"/>
      <c r="D72" s="23"/>
      <c r="E72" s="23"/>
      <c r="F72" s="23"/>
      <c r="G72" s="23"/>
      <c r="H72" s="23"/>
      <c r="I72" s="23"/>
      <c r="J72" s="23"/>
      <c r="K72" s="23"/>
      <c r="L72" s="23"/>
      <c r="M72" s="23"/>
      <c r="N72" s="23"/>
      <c r="O72" s="23"/>
      <c r="P72" s="23"/>
      <c r="Q72" s="23"/>
      <c r="R72" s="23"/>
      <c r="S72" s="23"/>
    </row>
    <row r="73" spans="1:20" x14ac:dyDescent="0.2">
      <c r="B73" s="23"/>
      <c r="C73" s="12"/>
      <c r="D73" s="23"/>
      <c r="E73" s="23"/>
      <c r="F73" s="23"/>
      <c r="G73" s="23"/>
      <c r="H73" s="23"/>
      <c r="I73" s="23"/>
      <c r="J73" s="23"/>
      <c r="K73" s="23"/>
      <c r="L73" s="23"/>
      <c r="M73" s="23"/>
      <c r="N73" s="23"/>
      <c r="O73" s="23"/>
      <c r="P73" s="23"/>
      <c r="Q73" s="23"/>
      <c r="R73" s="23"/>
      <c r="S73" s="23"/>
    </row>
    <row r="74" spans="1:20" x14ac:dyDescent="0.2">
      <c r="B74" s="56">
        <f>DATEDIF(BG!C19,BG!D2,"y")</f>
        <v>0</v>
      </c>
      <c r="C74" s="56">
        <f>IF(BG!C20=ISBLANK(0),0,DATEDIF(BG!C20,BG!D2,"y"))</f>
        <v>0</v>
      </c>
      <c r="D74" s="57" t="s">
        <v>11</v>
      </c>
      <c r="E74" s="23">
        <f>IF(BG!C21=ISBLANK(0),0,IF(Datenblatt!E75=0,1,(DATEDIF(BG!C21,BG!D2,"y"))))</f>
        <v>0</v>
      </c>
      <c r="F74" s="23">
        <f>IF(BG!C22=ISBLANK(0),0,IF(Datenblatt!F75=0,1,DATEDIF(BG!C22,BG!D2,"y")))</f>
        <v>0</v>
      </c>
      <c r="G74" s="23">
        <f>IF(BG!C23=ISBLANK(0),0,IF(Datenblatt!G75=0,1,DATEDIF(BG!C23,BG!D2,"y")))</f>
        <v>0</v>
      </c>
      <c r="H74" s="23">
        <f>IF(BG!C24=ISBLANK(0),0,IF(Datenblatt!H75=0,1,DATEDIF(BG!C24,BG!D2,"y")))</f>
        <v>0</v>
      </c>
      <c r="I74" s="23">
        <f>IF(BG!C25=ISBLANK(0),0,IF(Datenblatt!I75=0,1,DATEDIF(BG!C25,BG!D2,"y")))</f>
        <v>0</v>
      </c>
      <c r="J74" s="23">
        <f>IF(BG!C26=ISBLANK(0),0,IF(Datenblatt!J75=0,1,DATEDIF(BG!C26,BG!D2,"y")))</f>
        <v>0</v>
      </c>
      <c r="K74" s="23">
        <f>IF(BG!C27=ISBLANK(0),0,IF(Datenblatt!K75=0,1,DATEDIF(BG!C27,BG!D2,"y")))</f>
        <v>0</v>
      </c>
      <c r="L74" s="23">
        <f>IF(BG!C28=ISBLANK(0),0,IF(Datenblatt!L75=0,1,DATEDIF(BG!C28,BG!D2,"y")))</f>
        <v>0</v>
      </c>
      <c r="M74" s="23">
        <f>IF(BG!C29=ISBLANK(0),0,IF(Datenblatt!M75=0,1,DATEDIF(BG!C29,BG!D2,"y")))</f>
        <v>0</v>
      </c>
      <c r="N74" s="23">
        <f>IF(BG!C30=ISBLANK(0),0,IF(Datenblatt!N75=0,1,DATEDIF(BG!C30,BG!D2,"y")))</f>
        <v>0</v>
      </c>
      <c r="O74" s="23">
        <f>IF(BG!C31=ISBLANK(0),0,IF(Datenblatt!O75=0,1,DATEDIF(BG!C31,BG!D2,"y")))</f>
        <v>0</v>
      </c>
      <c r="P74" s="23">
        <f>IF(BG!C32=ISBLANK(0),0,IF(Datenblatt!P75=0,1,DATEDIF(BG!C32,BG!D2,"y")))</f>
        <v>0</v>
      </c>
      <c r="Q74" s="23">
        <f>IF(BG!C33=ISBLANK(0),0,IF(Datenblatt!Q75=0,1,DATEDIF(BG!C33,BG!D2,"y")))</f>
        <v>0</v>
      </c>
      <c r="R74" s="23">
        <f>IF(BG!C34=ISBLANK(0),0,IF(Datenblatt!R75=0,1,DATEDIF(BG!C34,BG!D2,"y")))</f>
        <v>0</v>
      </c>
      <c r="S74" s="23">
        <f>IF(BG!C35=ISBLANK(0),0,IF(Datenblatt!S75=0,1,DATEDIF(BG!C35,BG!D2,"y")))</f>
        <v>0</v>
      </c>
      <c r="T74" t="s">
        <v>330</v>
      </c>
    </row>
    <row r="75" spans="1:20" x14ac:dyDescent="0.2">
      <c r="B75" s="55"/>
      <c r="C75" s="17"/>
      <c r="D75" s="17"/>
      <c r="E75" s="61">
        <f>IF(BG!C21=ISBLANK(0),0,IF(MONTH(BG!D2)=MONTH(BG!C21),INT((BG!D2-BG!C21)/365.25)+1,INT((BG!D2-BG!C21)/365.25)))</f>
        <v>0</v>
      </c>
      <c r="F75" s="61">
        <f>IF(BG!C22=ISBLANK(0),0,IF(MONTH(BG!D2)=MONTH(BG!C22),INT((BG!D2-BG!C22)/365.25)+1,INT((BG!D2-BG!C22)/365.25)))</f>
        <v>0</v>
      </c>
      <c r="G75" s="61">
        <f>IF(BG!C23=ISBLANK(0),0,IF(MONTH(BG!D2)=MONTH(BG!C23),INT((BG!D2-BG!C23)/365.25)+1,INT((BG!D2-BG!C23)/365.25)))</f>
        <v>0</v>
      </c>
      <c r="H75" s="61">
        <f>IF(BG!C24=ISBLANK(0),0,IF(MONTH(BG!D2)=MONTH(BG!C24),INT((BG!D2-BG!C24)/365.25)+1,INT((BG!D2-BG!C24)/365.25)))</f>
        <v>0</v>
      </c>
      <c r="I75" s="61">
        <f>IF(BG!C25=ISBLANK(0),0,IF(MONTH(BG!D2)=MONTH(BG!C25),INT((BG!D2-BG!C25)/365.25)+1,INT((BG!D2-BG!C25)/365.25)))</f>
        <v>0</v>
      </c>
      <c r="J75" s="61">
        <f>IF(BG!C26=ISBLANK(0),0,IF(MONTH(BG!D2)=MONTH(BG!C26),INT((BG!D2-BG!C26)/365.25)+1,INT((BG!D2-BG!C26)/365.25)))</f>
        <v>0</v>
      </c>
      <c r="K75" s="61">
        <f>IF(BG!C27=ISBLANK(0),0,IF(MONTH(BG!D2)=MONTH(BG!C27),INT((BG!D2-BG!C27)/365.25)+1,INT((BG!D2-BG!C27)/365.25)))</f>
        <v>0</v>
      </c>
      <c r="L75" s="61">
        <f>IF(BG!C28=ISBLANK(0),0,IF(MONTH(BG!D2)=MONTH(BG!C28),INT((BG!D2-BG!C28)/365.25)+1,INT((BG!D2-BG!C28)/365.25)))</f>
        <v>0</v>
      </c>
      <c r="M75" s="61">
        <f>IF(BG!C29=ISBLANK(0),0,IF(MONTH(BG!D2)=MONTH(BG!C29),INT((BG!D2-BG!C29)/365.25)+1,INT((BG!D2-BG!C29)/365.25)))</f>
        <v>0</v>
      </c>
      <c r="N75" s="61">
        <f>IF(BG!C30=ISBLANK(0),0,IF(MONTH(BG!D2)=MONTH(BG!C30),INT((BG!D2-BG!C30)/365.25)+1,INT((BG!D2-BG!C30)/365.25)))</f>
        <v>0</v>
      </c>
      <c r="O75" s="61">
        <f>IF(BG!C31=ISBLANK(0),0,IF(MONTH(BG!D2)=MONTH(BG!C31),INT((BG!D2-BG!C31)/365.25)+1,INT((BG!D2-BG!C31)/365.25)))</f>
        <v>0</v>
      </c>
      <c r="P75" s="61">
        <f>IF(BG!C32=ISBLANK(0),0,IF(MONTH(BG!D2)=MONTH(BG!C32),INT((BG!D2-BG!C32)/365.25)+1,INT((BG!D2-BG!C32)/365.25)))</f>
        <v>0</v>
      </c>
      <c r="Q75" s="23">
        <f>IF(BG!C33=ISBLANK(0),0,IF(MONTH(BG!D2)=MONTH(BG!C33),INT((BG!D2-BG!C33)/365.25)+1,INT((BG!D2-BG!C33)/365.25)))</f>
        <v>0</v>
      </c>
      <c r="R75" s="23">
        <f>IF(BG!C34=ISBLANK(0),0,IF(MONTH(BG!D2)=MONTH(BG!C34),INT((BG!D2-BG!C34)/365.25)+1,INT((BG!D2-BG!C34)/365.25)))</f>
        <v>0</v>
      </c>
      <c r="S75" s="23">
        <f>IF(BG!C35=ISBLANK(0),0,IF(MONTH(BG!D2)=MONTH(BG!C35),INT((BG!D2-BG!C35)/365.25)+1,INT((BG!D2-BG!C35)/365.25)))</f>
        <v>0</v>
      </c>
      <c r="T75" t="s">
        <v>354</v>
      </c>
    </row>
    <row r="76" spans="1:20" x14ac:dyDescent="0.2">
      <c r="A76" s="55"/>
      <c r="B76" s="14"/>
      <c r="C76" s="14"/>
    </row>
    <row r="77" spans="1:20" x14ac:dyDescent="0.2">
      <c r="A77" s="55"/>
      <c r="B77" s="17"/>
      <c r="C77" s="17"/>
    </row>
    <row r="78" spans="1:20" ht="15" x14ac:dyDescent="0.25">
      <c r="A78" s="148" t="s">
        <v>358</v>
      </c>
      <c r="B78" s="17"/>
      <c r="C78" s="17"/>
    </row>
    <row r="79" spans="1:20" x14ac:dyDescent="0.2">
      <c r="B79" s="15"/>
      <c r="C79" s="15"/>
    </row>
    <row r="80" spans="1:20" x14ac:dyDescent="0.2">
      <c r="A80" s="146" t="s">
        <v>130</v>
      </c>
      <c r="B80" s="147" t="s">
        <v>131</v>
      </c>
      <c r="H80" t="s">
        <v>444</v>
      </c>
    </row>
    <row r="81" spans="1:13" x14ac:dyDescent="0.2">
      <c r="A81" s="149" t="e">
        <f>G55</f>
        <v>#NUM!</v>
      </c>
      <c r="B81" s="150" t="e">
        <f>H55</f>
        <v>#NUM!</v>
      </c>
      <c r="C81" t="s">
        <v>362</v>
      </c>
      <c r="H81" t="s">
        <v>445</v>
      </c>
      <c r="I81" t="s">
        <v>446</v>
      </c>
      <c r="J81" t="s">
        <v>447</v>
      </c>
      <c r="K81" t="s">
        <v>448</v>
      </c>
      <c r="L81" t="s">
        <v>449</v>
      </c>
      <c r="M81" t="s">
        <v>450</v>
      </c>
    </row>
    <row r="82" spans="1:13" x14ac:dyDescent="0.2">
      <c r="A82" s="149" t="e">
        <f>G59</f>
        <v>#NUM!</v>
      </c>
      <c r="B82" s="150" t="e">
        <f>H59</f>
        <v>#NUM!</v>
      </c>
      <c r="C82" t="s">
        <v>360</v>
      </c>
      <c r="H82" s="15" t="e">
        <f>AS!C26-AS!C25</f>
        <v>#NUM!</v>
      </c>
      <c r="I82" s="15" t="e">
        <f>AS!D26-AS!D25</f>
        <v>#NUM!</v>
      </c>
      <c r="J82" s="15" t="e">
        <f>AS!E26-AS!E25</f>
        <v>#NUM!</v>
      </c>
      <c r="K82" s="15" t="e">
        <f>AS!F26-AS!F25</f>
        <v>#NUM!</v>
      </c>
      <c r="L82" s="15" t="e">
        <f>AS!G26-AS!G25</f>
        <v>#NUM!</v>
      </c>
      <c r="M82" s="15" t="e">
        <f>AS!H26-AS!H25</f>
        <v>#NUM!</v>
      </c>
    </row>
    <row r="83" spans="1:13" x14ac:dyDescent="0.2">
      <c r="A83" s="149" t="e">
        <f>IF((Bedarfe!C16-Bedarfe!C14)-AS!F119-AS!F120-B71&lt;0,0,(Bedarfe!C16-Bedarfe!C14)-AS!F119-AS!F120)</f>
        <v>#N/A</v>
      </c>
      <c r="B83" s="150" t="e">
        <f>IF((Bedarfe!D16-Bedarfe!D14)-EP!F119-EP!F120-C71&lt;0,0,(Bedarfe!D16-Bedarfe!D14)-EP!F119-EP!F120)</f>
        <v>#N/A</v>
      </c>
      <c r="C83" t="s">
        <v>533</v>
      </c>
      <c r="H83" s="15" t="e">
        <f>SUM(H82:M82)/6</f>
        <v>#NUM!</v>
      </c>
      <c r="I83" s="15"/>
      <c r="J83" s="15"/>
      <c r="K83" s="15"/>
      <c r="L83" s="15"/>
      <c r="M83" s="15"/>
    </row>
    <row r="84" spans="1:13" x14ac:dyDescent="0.2">
      <c r="A84" s="151"/>
      <c r="B84" s="152"/>
      <c r="H84" t="s">
        <v>451</v>
      </c>
    </row>
    <row r="85" spans="1:13" x14ac:dyDescent="0.2">
      <c r="A85" s="1276" t="s">
        <v>359</v>
      </c>
      <c r="B85" s="1278"/>
      <c r="H85" t="s">
        <v>445</v>
      </c>
      <c r="I85" t="s">
        <v>446</v>
      </c>
      <c r="J85" t="s">
        <v>447</v>
      </c>
      <c r="K85" t="s">
        <v>448</v>
      </c>
      <c r="L85" t="s">
        <v>449</v>
      </c>
      <c r="M85" t="s">
        <v>450</v>
      </c>
    </row>
    <row r="86" spans="1:13" x14ac:dyDescent="0.2">
      <c r="A86" s="1280" t="str">
        <f>IF(BG!D8="mit Partner","nein",IF(AND(BG!G19="BAfög-Bezug",BG!G20="BAfög-Bezug"),"ja",IF(AND(BG!G19="kein BAföG wg. Einkommen",BG!G20="BAfög-Bezug"),"ja",IF(AND(BG!G19="BAfög-Bezug",BG!G20="kein BAföG wg. Einkommen"),"ja",IF(AND(BG!G19="BAfög-Bezug",OR(BG!G20=".",BG!G20="nein",BG!G20="kein BAföG wg. Alter",BG!G20="kein BAföG wg. Staatsangehörigkeit",BG!G20="kein BAföG wg. Förderungshöchstdauer")),"ja",IF(AND(OR(BG!G19=".",BG!G20="nein",BG!G19="kein BAföG wg. Alter",BG!G19="kein BAföG wg. Staatsangehörigkeit",BG!G19="kein BAföG wg. Förderungshöchstdauer"),BG!G20="BAfög-Bezug"),"ja",IF(AND(BG!G19="kein BAföG wg. Einkommen",BG!G20="."),"ja",IF(AND(BG!G19=".",BG!G20="kein BAföG wg. Einkommen"),"ja",IF(AND(BG!G19="kein BAföG wg. Einkommen",BG!G20="kein BAföG wg. Einkommen"),"ja","nein")))))))))</f>
        <v>nein</v>
      </c>
      <c r="B86" s="1281"/>
      <c r="H86" s="15" t="e">
        <f>EP!C26-EP!C25</f>
        <v>#NUM!</v>
      </c>
      <c r="I86" s="15" t="e">
        <f>EP!D26-EP!D25</f>
        <v>#NUM!</v>
      </c>
      <c r="J86" s="15" t="e">
        <f>EP!E26-EP!E25</f>
        <v>#NUM!</v>
      </c>
      <c r="K86" s="15" t="e">
        <f>EP!F26-EP!F25</f>
        <v>#NUM!</v>
      </c>
      <c r="L86" s="15" t="e">
        <f>EP!G26-EP!G25</f>
        <v>#NUM!</v>
      </c>
      <c r="M86" s="15" t="e">
        <f>EP!H26-EP!H25</f>
        <v>#NUM!</v>
      </c>
    </row>
    <row r="87" spans="1:13" x14ac:dyDescent="0.2">
      <c r="A87" s="47" t="s">
        <v>355</v>
      </c>
      <c r="B87" s="147" t="s">
        <v>355</v>
      </c>
      <c r="H87" s="15" t="e">
        <f>SUM(H86:M86)/6</f>
        <v>#NUM!</v>
      </c>
      <c r="I87" s="15"/>
      <c r="J87" s="15"/>
      <c r="K87" s="15"/>
      <c r="L87" s="15"/>
      <c r="M87" s="15"/>
    </row>
    <row r="88" spans="1:13" x14ac:dyDescent="0.2">
      <c r="A88" s="27" t="str">
        <f>IF(BG!F19="Student","ja","nein")</f>
        <v>nein</v>
      </c>
      <c r="B88" s="153" t="str">
        <f>IF(BG!F20="Student","ja","nein")</f>
        <v>nein</v>
      </c>
      <c r="H88" t="s">
        <v>452</v>
      </c>
      <c r="J88" s="15" t="e">
        <f>H83+H87</f>
        <v>#NUM!</v>
      </c>
    </row>
    <row r="89" spans="1:13" x14ac:dyDescent="0.2">
      <c r="A89" s="1275" t="s">
        <v>364</v>
      </c>
      <c r="B89" s="1275"/>
    </row>
    <row r="90" spans="1:13" x14ac:dyDescent="0.2">
      <c r="A90" s="145" t="e">
        <f>IF(A83&gt;0,"ja","nein")</f>
        <v>#N/A</v>
      </c>
      <c r="B90" s="145" t="e">
        <f>IF(B83&gt;0,"ja","nein")</f>
        <v>#N/A</v>
      </c>
    </row>
    <row r="91" spans="1:13" x14ac:dyDescent="0.2">
      <c r="A91" s="1284" t="s">
        <v>365</v>
      </c>
      <c r="B91" s="1284"/>
      <c r="I91" s="17"/>
      <c r="J91" s="14"/>
    </row>
    <row r="92" spans="1:13" x14ac:dyDescent="0.2">
      <c r="A92" s="158" t="e">
        <f>IF(AND(A88="ja",A90="ja"),"ja","nein")</f>
        <v>#N/A</v>
      </c>
      <c r="B92" s="158" t="e">
        <f>IF(AND(B88="ja",B90="ja"),"ja","nein")</f>
        <v>#N/A</v>
      </c>
      <c r="I92" s="14"/>
      <c r="J92" s="14"/>
    </row>
    <row r="93" spans="1:13" x14ac:dyDescent="0.2">
      <c r="A93" s="12" t="e">
        <f>IF(AND(BG!D8="alleinerziehend",BG!F19="Student"),Datenblatt!G59,IF(A95="nein",A82,IF(A95="ja",IF(A81-B83&gt;0,A82,IF(A81+A82-B83&lt;0,0,A81+A82-B83)))))</f>
        <v>#N/A</v>
      </c>
      <c r="B93" s="12" t="e">
        <f>IF(B95="nein",B82,IF(B95="ja",IF(B81-A83&gt;0,B82,IF(B81+B82-A83&lt;0,0,B81+B82-A83))))</f>
        <v>#N/A</v>
      </c>
      <c r="C93" t="s">
        <v>363</v>
      </c>
      <c r="H93" s="17"/>
      <c r="I93" s="14"/>
      <c r="J93" s="14"/>
    </row>
    <row r="94" spans="1:13" x14ac:dyDescent="0.2">
      <c r="A94" s="12" t="e">
        <f>IF(AND(BG!D8="alleinerziehend",BG!F19="Student"),Datenblatt!G55,IF(A95="nein",A81,IF(A95="ja",IF(A81-B83&lt;0,0,A81-B83))))</f>
        <v>#N/A</v>
      </c>
      <c r="B94" s="12" t="e">
        <f>IF(B95="nein",B81,IF(B95="ja",IF(B81-A83&lt;0,0,B81-A83)))</f>
        <v>#N/A</v>
      </c>
      <c r="C94" t="s">
        <v>361</v>
      </c>
      <c r="H94" s="14"/>
      <c r="I94" s="17"/>
      <c r="J94" s="14"/>
    </row>
    <row r="95" spans="1:13" x14ac:dyDescent="0.2">
      <c r="A95" s="49" t="e">
        <f>IF(AND(B88="ja",B90="ja",A86="ja"),"ja","nein")</f>
        <v>#N/A</v>
      </c>
      <c r="B95" s="49" t="e">
        <f>IF(AND(A88="ja",A90="ja",A86="ja"),"ja","nein")</f>
        <v>#N/A</v>
      </c>
      <c r="C95" t="s">
        <v>366</v>
      </c>
      <c r="H95" s="17"/>
      <c r="I95" s="17"/>
      <c r="J95" s="14"/>
    </row>
    <row r="96" spans="1:13" x14ac:dyDescent="0.2">
      <c r="H96" s="1282"/>
      <c r="I96" s="1282"/>
      <c r="J96" s="14"/>
    </row>
    <row r="97" spans="8:10" x14ac:dyDescent="0.2">
      <c r="H97" s="17"/>
      <c r="I97" s="17"/>
      <c r="J97" s="14"/>
    </row>
    <row r="98" spans="8:10" x14ac:dyDescent="0.2">
      <c r="H98" s="14"/>
      <c r="I98" s="14"/>
      <c r="J98" s="14"/>
    </row>
    <row r="99" spans="8:10" x14ac:dyDescent="0.2">
      <c r="H99" s="14"/>
      <c r="I99" s="14"/>
      <c r="J99" s="14"/>
    </row>
  </sheetData>
  <sheetProtection algorithmName="SHA-512" hashValue="4uihRrWrm/F+8zdGVEfUkmGKUiQ+19fAih2xSlRlrNomug8UCF3XamTQUQ0WyECIhO6Cp7/4qErhlBtTjdl4zQ==" saltValue="eVJ6SOJU+Kqz2w0eoZeVJA==" spinCount="100000" sheet="1" objects="1" scenarios="1"/>
  <mergeCells count="15">
    <mergeCell ref="A86:B86"/>
    <mergeCell ref="A85:B85"/>
    <mergeCell ref="H96:I96"/>
    <mergeCell ref="A89:B89"/>
    <mergeCell ref="K10:L10"/>
    <mergeCell ref="A59:B59"/>
    <mergeCell ref="A60:B60"/>
    <mergeCell ref="A91:B91"/>
    <mergeCell ref="D9:E9"/>
    <mergeCell ref="A56:B56"/>
    <mergeCell ref="A57:B57"/>
    <mergeCell ref="A58:B58"/>
    <mergeCell ref="D7:F7"/>
    <mergeCell ref="D8:E8"/>
    <mergeCell ref="A55:B55"/>
  </mergeCells>
  <pageMargins left="0.70866141732283472" right="0.70866141732283472" top="0.8666666666666667" bottom="0.78740157480314965" header="0.31496062992125984" footer="0.31496062992125984"/>
  <pageSetup paperSize="9" scale="80" orientation="portrait" r:id="rId1"/>
  <headerFooter>
    <oddHeader>&amp;L&amp;"Arial,Fett"&amp;U9. Berechnung des Kinderzuschlags:&amp;R&amp;D</oddHead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6"/>
  <dimension ref="A1:Q1048576"/>
  <sheetViews>
    <sheetView workbookViewId="0">
      <selection activeCell="L35" sqref="L35"/>
    </sheetView>
  </sheetViews>
  <sheetFormatPr baseColWidth="10" defaultRowHeight="14.25" x14ac:dyDescent="0.2"/>
  <cols>
    <col min="10" max="10" width="9.75" customWidth="1"/>
  </cols>
  <sheetData>
    <row r="1" spans="1:17" ht="15" thickBot="1" x14ac:dyDescent="0.25"/>
    <row r="2" spans="1:17" ht="15.75" thickBot="1" x14ac:dyDescent="0.3">
      <c r="A2" s="40" t="s">
        <v>244</v>
      </c>
      <c r="B2" s="41"/>
      <c r="C2" s="41"/>
      <c r="D2" s="41"/>
      <c r="E2" s="41"/>
      <c r="F2" s="41"/>
      <c r="G2" s="42"/>
    </row>
    <row r="3" spans="1:17" x14ac:dyDescent="0.2">
      <c r="A3" s="36" t="s">
        <v>13</v>
      </c>
      <c r="B3" s="37" t="s">
        <v>248</v>
      </c>
      <c r="C3" s="37" t="s">
        <v>245</v>
      </c>
      <c r="D3" s="37" t="s">
        <v>246</v>
      </c>
      <c r="E3" s="37" t="s">
        <v>247</v>
      </c>
      <c r="F3" s="37" t="s">
        <v>249</v>
      </c>
      <c r="G3" s="38" t="s">
        <v>250</v>
      </c>
    </row>
    <row r="4" spans="1:17" x14ac:dyDescent="0.2">
      <c r="A4" s="39">
        <v>1</v>
      </c>
      <c r="B4" s="12" t="e">
        <f>IF(AND('K1'!C96=0,'K1'!C76=0),0,IF('K1'!C96&lt;=400,100,IF((SUM('K1'!C85,'K1'!C89,'K1'!C92,'K1'!C93,'K1'!C94,'K1'!C95))&lt;100,100,(SUM('K1'!C85,'K1'!C89,'K1'!C92,'K1'!C93,'K1'!C94,'K1'!C95)))))</f>
        <v>#NUM!</v>
      </c>
      <c r="C4" s="12" t="e">
        <f>IF(AND('K1'!C96=0,'K1'!C76=0),0,IF('K1'!C96&lt;=400,100,IF((SUM('K1'!C85,'K1'!C89,'K1'!C92,'K1'!C93,'K1'!C94,'K1'!C95)+30)&lt;100,100,(SUM('K1'!C85,'K1'!C89,'K1'!C92,'K1'!C93,'K1'!C94,'K1'!C95)+30))))</f>
        <v>#NUM!</v>
      </c>
      <c r="D4" s="12" t="e">
        <f>IF(AND('K1'!C96=0,'K1'!C76=0),0,MAX(SUM('K1'!C85,'K1'!C89,'K1'!C92,'K1'!C93,'K1'!C94,'K1'!C95),J30))</f>
        <v>#NUM!</v>
      </c>
      <c r="E4" s="12" t="e">
        <f>IF(AND('K1'!C96=0,'K1'!C76=0),0,MAX(SUM('K1'!C85,'K1'!C89,'K1'!C92,'K1'!C93,'K1'!C94,'K1'!C95)+30,J30))</f>
        <v>#NUM!</v>
      </c>
      <c r="F4" s="12" t="e">
        <f>IF('K1'!C61&lt;18,Grundfreibeträge!B4,Grundfreibeträge!C4)</f>
        <v>#NUM!</v>
      </c>
      <c r="G4" s="138" t="e">
        <f>IF('K1'!C61&lt;18,Grundfreibeträge!D4,Grundfreibeträge!E4)</f>
        <v>#NUM!</v>
      </c>
      <c r="H4" s="12" t="e">
        <f>IF('K1'!C96&lt;1000,0,IF('K1'!C96&gt;=1200,20,ROUND(('K1'!C96-1000)*10%,2)))</f>
        <v>#NUM!</v>
      </c>
      <c r="J4" s="23" t="s">
        <v>190</v>
      </c>
      <c r="K4" s="23" t="s">
        <v>249</v>
      </c>
      <c r="L4" s="23" t="s">
        <v>250</v>
      </c>
      <c r="M4" s="51" t="s">
        <v>331</v>
      </c>
      <c r="N4" s="46" t="s">
        <v>333</v>
      </c>
      <c r="O4" s="23"/>
      <c r="P4" s="23" t="s">
        <v>332</v>
      </c>
      <c r="Q4" s="136" t="s">
        <v>334</v>
      </c>
    </row>
    <row r="5" spans="1:17" x14ac:dyDescent="0.2">
      <c r="A5" s="39">
        <v>2</v>
      </c>
      <c r="B5" s="12" t="e">
        <f>IF(AND('K1'!D96=0,'K1'!D76=0),0,IF('K1'!D96&lt;=400,100,IF((SUM('K1'!D85,'K1'!D89,'K1'!D92,'K1'!D93,'K1'!D94,'K1'!D95))&lt;100,100,(SUM('K1'!D85,'K1'!D89,'K1'!D92,'K1'!D93,'K1'!D94,'K1'!D95)))))</f>
        <v>#NUM!</v>
      </c>
      <c r="C5" s="12" t="e">
        <f>IF('K1'!D74="ja",Grundfreibeträge!E5,IF(AND('K1'!D96=0,'K1'!D76=0),0,IF('K1'!D96&lt;=400,100,IF((SUM('K1'!D85,'K1'!D89,'K1'!D92,'K1'!D93,'K1'!D94,'K1'!D95)+30)&lt;100,100,(SUM('K1'!D85,'K1'!D89,'K1'!D92,'K1'!D93,'K1'!D94,'K1'!D95)+30)))))</f>
        <v>#NUM!</v>
      </c>
      <c r="D5" s="12" t="e">
        <f>IF(AND('K1'!D96=0,'K1'!D76=0),0,MAX(SUM('K1'!D85,'K1'!D89,'K1'!D92,'K1'!D93,'K1'!D94,'K1'!D95),J31))</f>
        <v>#NUM!</v>
      </c>
      <c r="E5" s="12" t="e">
        <f>IF(AND('K1'!D96=0,'K1'!D76=0),0,MAX(SUM('K1'!CD85,'K1'!CD89,'K1'!D92,'K1'!D93,'K1'!D94,'K1'!D95)+30,J31))</f>
        <v>#NUM!</v>
      </c>
      <c r="F5" s="12" t="e">
        <f>IF('K1'!D61&lt;18,Grundfreibeträge!B5,Grundfreibeträge!C5)</f>
        <v>#NUM!</v>
      </c>
      <c r="G5" s="138" t="e">
        <f>IF('K1'!D61&lt;18,Grundfreibeträge!D5,Grundfreibeträge!E5)</f>
        <v>#NUM!</v>
      </c>
      <c r="H5" s="12" t="e">
        <f>IF('K1'!D96&lt;1000,0,IF('K1'!D96&gt;=1200,20,ROUND(('K1'!D96-1000)*10%,2)))</f>
        <v>#NUM!</v>
      </c>
      <c r="J5" s="23">
        <v>1</v>
      </c>
      <c r="K5" s="12" t="e">
        <f>IF(AND(AS!C25=0,AS!C5=0),0,IF(AS!C25&lt;=400,100,IF((SUM(AS!C14,AS!C18,AS!C21,AS!C22,AS!C23,AS!C24)+30)&lt;100,100,(SUM(AS!C14,AS!C18,AS!C21,AS!C22,AS!C23,AS!C24)+30))))</f>
        <v>#NUM!</v>
      </c>
      <c r="L5" s="12" t="e">
        <f>IF(AND(AS!C25=0,AS!C5=0),0,MAX(SUM(AS!C14,AS!C18,AS!C21,AS!C22,AS!C23,AS!C24)+30,J30))</f>
        <v>#NUM!</v>
      </c>
      <c r="M5" s="12" t="e">
        <f>IF(AS!C25&lt;1000,0,IF(AS!C25&gt;=1200,20,ROUND((AS!C25-1000)*10%,2)))</f>
        <v>#NUM!</v>
      </c>
      <c r="N5" s="23">
        <f>COUNTA(BG!C21:C35)</f>
        <v>0</v>
      </c>
      <c r="O5" s="23" t="s">
        <v>13</v>
      </c>
      <c r="P5" s="23" t="str">
        <f>IF(Datenblatt!E75&gt;17,"ja","nein")</f>
        <v>nein</v>
      </c>
      <c r="Q5" s="23">
        <f>COUNTIF(P5:P19,"ja")</f>
        <v>0</v>
      </c>
    </row>
    <row r="6" spans="1:17" x14ac:dyDescent="0.2">
      <c r="A6" s="39">
        <v>3</v>
      </c>
      <c r="B6" s="12" t="e">
        <f>IF(AND('K1'!E96=0,'K1'!E76=0),0,IF('K1'!E96&lt;=400,100,IF((SUM('K1'!E85,'K1'!E89,'K1'!E92,'K1'!E93,'K1'!E94,'K1'!E95))&lt;100,100,(SUM('K1'!E85,'K1'!E89,'K1'!E92,'K1'!E93,'K1'!E94,'K1'!E95)))))</f>
        <v>#NUM!</v>
      </c>
      <c r="C6" s="12" t="e">
        <f>IF(AND('K1'!E96=0,'K1'!E76=0),0,IF('K1'!E96&lt;=400,100,IF((SUM('K1'!E85,'K1'!E89,'K1'!E92,'K1'!E93,'K1'!E94,'K1'!E95)+30)&lt;100,100,(SUM('K1'!E85,'K1'!E89,'K1'!E92,'K1'!E93,'K1'!E94,'K1'!E95)+30))))</f>
        <v>#NUM!</v>
      </c>
      <c r="D6" s="12" t="e">
        <f>IF(AND('K1'!E96=0,'K1'!E76=0),0,MAX(SUM('K1'!E85,'K1'!E89,'K1'!E92,'K1'!E93,'K1'!E94,'K1'!E95),J32))</f>
        <v>#NUM!</v>
      </c>
      <c r="E6" s="12" t="e">
        <f>IF(AND('K1'!E96=0,'K1'!E76=0),0,MAX(SUM('K1'!E85,'K1'!E89,'K1'!E92,'K1'!E93,'K1'!E94,'K1'!E95)+30,J32))</f>
        <v>#NUM!</v>
      </c>
      <c r="F6" s="12" t="e">
        <f>IF('K1'!E61&lt;18,Grundfreibeträge!B6,Grundfreibeträge!C6)</f>
        <v>#NUM!</v>
      </c>
      <c r="G6" s="138" t="e">
        <f>IF('K1'!E61&lt;18,Grundfreibeträge!D6,Grundfreibeträge!E6)</f>
        <v>#NUM!</v>
      </c>
      <c r="H6" s="12" t="e">
        <f>IF('K1'!E96&lt;1000,0,IF('K1'!E96&gt;=1200,20,ROUND(('K1'!E96-1000)*10%,2)))</f>
        <v>#NUM!</v>
      </c>
      <c r="J6" s="23">
        <v>2</v>
      </c>
      <c r="K6" s="12" t="e">
        <f>IF(AND(AS!D25=0,AS!D5=0),0,IF(AS!D25&lt;=400,100,IF((SUM(AS!D14,AS!D18,AS!D21,AS!D22,AS!D23,AS!D24)+30)&lt;100,100,(SUM(AS!D14,AS!D18,AS!D21,AS!D22,AS!D23,AS!D24)+30))))</f>
        <v>#NUM!</v>
      </c>
      <c r="L6" s="12" t="e">
        <f>IF(AND(AS!D25=0,AS!D5=0),0,MAX(SUM(AS!D14,AS!D18,AS!D21,AS!D22,AS!D23,AS!D24)+30,J31))</f>
        <v>#NUM!</v>
      </c>
      <c r="M6" s="12" t="e">
        <f>IF(AS!D25&lt;1000,0,IF(AS!D25&gt;=1200,20,ROUND((AS!D25-1000)*10%,2)))</f>
        <v>#NUM!</v>
      </c>
      <c r="N6" s="23"/>
      <c r="O6" s="23" t="s">
        <v>14</v>
      </c>
      <c r="P6" s="23" t="str">
        <f>IF(Datenblatt!F75&gt;17,"ja","nein")</f>
        <v>nein</v>
      </c>
      <c r="Q6" s="136" t="str">
        <f>IF(N5=Q5,"Kind ü18","Kind u18")</f>
        <v>Kind ü18</v>
      </c>
    </row>
    <row r="7" spans="1:17" x14ac:dyDescent="0.2">
      <c r="A7" s="39">
        <v>4</v>
      </c>
      <c r="B7" s="12" t="e">
        <f>IF(AND('K1'!F96=0,'K1'!F76=0),0,IF('K1'!F96&lt;=400,100,IF((SUM('K1'!F85,'K1'!F89,'K1'!F92,'K1'!F93,'K1'!F94,'K1'!F95))&lt;100,100,(SUM('K1'!F85,'K1'!F89,'K1'!F92,'K1'!F93,'K1'!F94,'K1'!F95)))))</f>
        <v>#NUM!</v>
      </c>
      <c r="C7" s="12" t="e">
        <f>IF('K1'!F74="ja",Grundfreibeträge!E7,IF(AND('K1'!F96=0,'K1'!F76=0),0,IF('K1'!F96&lt;=400,100,IF((SUM('K1'!F85,'K1'!F89,'K1'!F92,'K1'!F93,'K1'!F94,'K1'!F95)+30)&lt;100,100,(SUM('K1'!F85,'K1'!F89,'K1'!F92,'K1'!F93,'K1'!F94,'K1'!F95)+30)))))</f>
        <v>#NUM!</v>
      </c>
      <c r="D7" s="12" t="e">
        <f>IF(AND('K1'!F96=0,'K1'!F76=0),0,MAX(SUM('K1'!F85,'K1'!F89,'K1'!F92,'K1'!F93,'K1'!F94,'K1'!F95),J33))</f>
        <v>#NUM!</v>
      </c>
      <c r="E7" s="12" t="e">
        <f>IF(AND('K1'!F96=0,'K1'!F76=0),0,MAX(SUM('K1'!F85,'K1'!F89,'K1'!F92,'K1'!F93,'K1'!F94,'K1'!F95)+30,J33))</f>
        <v>#NUM!</v>
      </c>
      <c r="F7" s="12" t="e">
        <f>IF('K1'!F61&lt;18,Grundfreibeträge!B7,Grundfreibeträge!C7)</f>
        <v>#NUM!</v>
      </c>
      <c r="G7" s="138" t="e">
        <f>IF('K1'!F61&lt;18,Grundfreibeträge!D7,Grundfreibeträge!E7)</f>
        <v>#NUM!</v>
      </c>
      <c r="H7" s="12" t="e">
        <f>IF('K1'!F96&lt;1000,0,IF('K1'!F96&gt;=1200,20,ROUND(('K1'!F96-1000)*10%,2)))</f>
        <v>#NUM!</v>
      </c>
      <c r="J7" s="23">
        <v>3</v>
      </c>
      <c r="K7" s="12" t="e">
        <f>IF(AND(AS!E25=0,AS!E5=0),0,IF(AS!E25&lt;=400,100,IF((SUM(AS!E14,AS!E18,AS!E21,AS!E22,AS!E23,AS!E24)+30)&lt;100,100,(SUM(AS!E14,AS!E18,AS!E21,AS!E22,AS!E23,AS!E24)+30))))</f>
        <v>#NUM!</v>
      </c>
      <c r="L7" s="12" t="e">
        <f>IF(AND(AS!E25=0,AS!E5=0),0,MAX(SUM(AS!E14,AS!E18,AS!E21,AS!E22,AS!E23,AS!E24)+30,J32))</f>
        <v>#NUM!</v>
      </c>
      <c r="M7" s="12" t="e">
        <f>IF(AS!E25&lt;1000,0,IF(AS!E25&gt;=1200,20,ROUND((AS!E25-1000)*10%,2)))</f>
        <v>#NUM!</v>
      </c>
      <c r="N7" s="23"/>
      <c r="O7" s="23" t="s">
        <v>15</v>
      </c>
      <c r="P7" s="23" t="str">
        <f>IF(Datenblatt!G75&gt;17,"ja","nein")</f>
        <v>nein</v>
      </c>
    </row>
    <row r="8" spans="1:17" x14ac:dyDescent="0.2">
      <c r="A8" s="39">
        <v>5</v>
      </c>
      <c r="B8" s="12" t="e">
        <f>IF(AND('K1'!G96=0,'K1'!G76=0),0,IF('K1'!G96&lt;=400,100,IF((SUM('K1'!G85,'K1'!G89,'K1'!G92,'K1'!G93,'K1'!G94,'K1'!G95))&lt;100,100,(SUM('K1'!G85,'K1'!G89,'K1'!G92,'K1'!G93,'K1'!G94,'K1'!G95)))))</f>
        <v>#NUM!</v>
      </c>
      <c r="C8" s="12" t="e">
        <f>IF(AND('K1'!G96=0,'K1'!G76=0),0,IF('K1'!G96&lt;=400,100,IF((SUM('K1'!G85,'K1'!G89,'K1'!G92,'K1'!G93,'K1'!G94,'K1'!G95)+30)&lt;100,100,(SUM('K1'!G85,'K1'!G89,'K1'!G92,'K1'!G93,'K1'!G94,'K1'!G95)+30))))</f>
        <v>#NUM!</v>
      </c>
      <c r="D8" s="12" t="e">
        <f>IF(AND('K1'!G96=0,'K1'!G76=0),0,MAX(SUM('K1'!G85,'K1'!G89,'K1'!G92,'K1'!G93,'K1'!G94,'K1'!G95),J34))</f>
        <v>#NUM!</v>
      </c>
      <c r="E8" s="12" t="e">
        <f>IF(AND('K1'!G96=0,'K1'!G76=0),0,MAX(SUM('K1'!G85,'K1'!G89,'K1'!G92,'K1'!G93,'K1'!G94,'K1'!G95)+30,J34))</f>
        <v>#NUM!</v>
      </c>
      <c r="F8" s="12" t="e">
        <f>IF('K1'!G61&lt;18,Grundfreibeträge!B8,Grundfreibeträge!C8)</f>
        <v>#NUM!</v>
      </c>
      <c r="G8" s="138" t="e">
        <f>IF('K1'!G61&lt;18,Grundfreibeträge!D8,Grundfreibeträge!E8)</f>
        <v>#NUM!</v>
      </c>
      <c r="H8" s="12" t="e">
        <f>IF('K1'!G96&lt;1000,0,IF('K1'!G96&gt;=1200,20,ROUND(('K1'!G96-1000)*10%,2)))</f>
        <v>#NUM!</v>
      </c>
      <c r="J8" s="23">
        <v>4</v>
      </c>
      <c r="K8" s="12" t="e">
        <f>IF(AND(AS!F25=0,AS!F5=0),0,IF(AS!F25&lt;=400,100,IF((SUM(AS!F14,AS!F18,AS!F21,AS!F22,AS!F23,AS!F24)+30)&lt;100,100,(SUM(AS!F14,AS!F18,AS!F21,AS!F22,AS!F23,AS!F24)+30))))</f>
        <v>#NUM!</v>
      </c>
      <c r="L8" s="12" t="e">
        <f>IF(AND(AS!F25=0,AS!F5=0),0,MAX(SUM(AS!F14,AS!F18,AS!F21,AS!F22,AS!F23,AS!F24)+30,J33))</f>
        <v>#NUM!</v>
      </c>
      <c r="M8" s="12" t="e">
        <f>IF(AS!F25&lt;1000,0,IF(AS!F25&gt;=1200,20,ROUND((AS!F25-1000)*10%,2)))</f>
        <v>#NUM!</v>
      </c>
      <c r="N8" s="23"/>
      <c r="O8" s="23" t="s">
        <v>16</v>
      </c>
      <c r="P8" s="23" t="str">
        <f>IF(Datenblatt!H75&gt;17,"ja","nein")</f>
        <v>nein</v>
      </c>
    </row>
    <row r="9" spans="1:17" ht="15" thickBot="1" x14ac:dyDescent="0.25">
      <c r="A9" s="43">
        <v>6</v>
      </c>
      <c r="B9" s="16" t="e">
        <f>IF(AND('K1'!H96=0,'K1'!H76=0),0,IF('K1'!H96&lt;=400,100,IF((SUM('K1'!H85,'K1'!H89,'K1'!H92,'K1'!H93,'K1'!H94,'K1'!H95))&lt;100,100,(SUM('K1'!H85,'K1'!H89,'K1'!H92,'K1'!H93,'K1'!H94,'K1'!H95)))))</f>
        <v>#NUM!</v>
      </c>
      <c r="C9" s="16" t="e">
        <f>IF('K1'!H74="ja",Grundfreibeträge!E9,IF(AND('K1'!H96=0,'K1'!H76=0),0,IF('K1'!H96&lt;=400,100,IF((SUM('K1'!H85,'K1'!H89,'K1'!H92,'K1'!H93,'K1'!H94,'K1'!H95)+30)&lt;100,100,(SUM('K1'!H85,'K1'!H89,'K1'!H92,'K1'!H93,'K1'!H94,'K1'!H95)+30)))))</f>
        <v>#NUM!</v>
      </c>
      <c r="D9" s="16" t="e">
        <f>IF(AND('K1'!H96=0,'K1'!H76=0),0,MAX(SUM('K1'!H85,'K1'!H89,'K1'!H92,'K1'!H93,'K1'!H94,'K1'!H95),J35))</f>
        <v>#NUM!</v>
      </c>
      <c r="E9" s="16" t="e">
        <f>IF(AND('K1'!H96=0,'K1'!H76=0),0,MAX(SUM('K1'!H85,'K1'!H89,'K1'!H92,'K1'!CH93,'K1'!H94,'K1'!H95)+30,J35))</f>
        <v>#NUM!</v>
      </c>
      <c r="F9" s="16" t="e">
        <f>IF('K1'!H61&lt;18,Grundfreibeträge!B9,Grundfreibeträge!C9)</f>
        <v>#NUM!</v>
      </c>
      <c r="G9" s="139" t="e">
        <f>IF('K1'!H61&lt;18,Grundfreibeträge!D9,Grundfreibeträge!E9)</f>
        <v>#NUM!</v>
      </c>
      <c r="H9" s="12" t="e">
        <f>IF('K1'!H96&lt;1000,0,IF('K1'!H96&gt;=1200,20,ROUND(('K1'!H96-1000)*10%,2)))</f>
        <v>#NUM!</v>
      </c>
      <c r="J9" s="23">
        <v>5</v>
      </c>
      <c r="K9" s="12" t="e">
        <f>IF(AND(AS!G25=0,AS!G5=0),0,IF(AS!G25&lt;=400,100,IF((SUM(AS!G14,AS!G18,AS!G21,AS!G22,AS!G23,AS!G24)+30)&lt;100,100,(SUM(AS!G14,AS!G18,AS!G21,AS!G22,AS!G23,AS!G24)+30))))</f>
        <v>#NUM!</v>
      </c>
      <c r="L9" s="12" t="e">
        <f>IF(AND(AS!G25=0,AS!G5=0),0,MAX(SUM(AS!G14,AS!G18,AS!G21,AS!G22,AS!G23,AS!G24)+30,J34))</f>
        <v>#NUM!</v>
      </c>
      <c r="M9" s="12" t="e">
        <f>IF(AS!G25&lt;1000,0,IF(AS!G25&gt;=1200,20,ROUND((AS!G25-1000)*10%,2)))</f>
        <v>#NUM!</v>
      </c>
      <c r="N9" s="23"/>
      <c r="O9" s="23" t="s">
        <v>17</v>
      </c>
      <c r="P9" s="23" t="str">
        <f>IF(Datenblatt!I75&gt;17,"ja","nein")</f>
        <v>nein</v>
      </c>
    </row>
    <row r="10" spans="1:17" x14ac:dyDescent="0.2">
      <c r="A10" s="36" t="s">
        <v>14</v>
      </c>
      <c r="B10" s="37" t="s">
        <v>248</v>
      </c>
      <c r="C10" s="37" t="s">
        <v>245</v>
      </c>
      <c r="D10" s="37" t="s">
        <v>246</v>
      </c>
      <c r="E10" s="37" t="s">
        <v>247</v>
      </c>
      <c r="F10" s="37" t="s">
        <v>249</v>
      </c>
      <c r="G10" s="38" t="s">
        <v>250</v>
      </c>
      <c r="J10" s="23">
        <v>6</v>
      </c>
      <c r="K10" s="12" t="e">
        <f>IF(AND(AS!H25=0,AS!H5=0),0,IF(AS!H25&lt;=400,100,IF((SUM(AS!H14,AS!H18,AS!H21,AS!H22,AS!H23,AS!H24)+30)&lt;100,100,(SUM(AS!H14,AS!H18,AS!H21,AS!H22,AS!H23,AS!H24)+30))))</f>
        <v>#NUM!</v>
      </c>
      <c r="L10" s="12" t="e">
        <f>IF(AND(AS!H25=0,AS!H5=0),0,MAX(SUM(AS!H14,AS!G18,AS!H21,AS!H22,AS!H23,AS!H24)+30,J35))</f>
        <v>#NUM!</v>
      </c>
      <c r="M10" s="12" t="e">
        <f>IF(AS!H25&lt;1000,0,IF(AS!H25&gt;=1200,20,ROUND((AS!H25-1000)*10%,2)))</f>
        <v>#NUM!</v>
      </c>
      <c r="N10" s="23"/>
      <c r="O10" s="23" t="s">
        <v>18</v>
      </c>
      <c r="P10" s="23" t="str">
        <f>IF(Datenblatt!J75&gt;17,"ja","nein")</f>
        <v>nein</v>
      </c>
    </row>
    <row r="11" spans="1:17" x14ac:dyDescent="0.2">
      <c r="A11" s="39">
        <v>1</v>
      </c>
      <c r="B11" s="12" t="e">
        <f>IF(AND('K2'!C96=0,'K2'!C76=0),0,IF('K2'!C96&lt;=400,100,IF((SUM('K2'!C85,'K2'!C89,'K2'!C92,'K2'!C93,'K2'!C94,'K2'!C95))&lt;100,100,(SUM('K2'!C85,'K2'!C89,'K2'!C92,'K2'!C93,'K2'!C94,'K2'!C95)))))</f>
        <v>#NUM!</v>
      </c>
      <c r="C11" s="12" t="e">
        <f>IF(AND('K2'!C96=0,'K2'!C76=0),0,IF('K2'!C96&lt;=400,100,IF((SUM('K2'!C85,'K2'!C89,'K2'!C92,'K2'!C93,'K2'!C94,'K2'!C95)+30)&lt;100,100,(SUM('K2'!C85,'K2'!C89,'K2'!C92,'K2'!C93,'K2'!C94,'K2'!C95)+30))))</f>
        <v>#NUM!</v>
      </c>
      <c r="D11" s="12" t="e">
        <f>IF(AND('K2'!C96=0,'K2'!C76=0),0,MAX(SUM('K2'!C85,'K2'!C89,'K2'!C92,'K2'!C93,'K2'!C94,'K2'!C95),J30))</f>
        <v>#NUM!</v>
      </c>
      <c r="E11" s="12" t="e">
        <f>IF(AND('K2'!C96=0,'K2'!C76=0),0,MAX(SUM('K2'!C85,'K2'!C89,'K2'!C92,'K2'!C93,'K2'!C94,'K2'!C95)+30,J30))</f>
        <v>#NUM!</v>
      </c>
      <c r="F11" s="12" t="e">
        <f>IF('K2'!C61&lt;18,Grundfreibeträge!B11,Grundfreibeträge!C11)</f>
        <v>#NUM!</v>
      </c>
      <c r="G11" s="138" t="e">
        <f>IF('K2'!C61&lt;18,Grundfreibeträge!D11,Grundfreibeträge!E11)</f>
        <v>#NUM!</v>
      </c>
      <c r="H11" s="12" t="e">
        <f>IF('K2'!C96&lt;1000,0,IF('K2'!C96&gt;=1200,20,ROUND(('K2'!C96-1000)*10%,2)))</f>
        <v>#NUM!</v>
      </c>
      <c r="J11" s="23" t="s">
        <v>191</v>
      </c>
      <c r="K11" s="23" t="s">
        <v>249</v>
      </c>
      <c r="L11" s="23" t="s">
        <v>250</v>
      </c>
      <c r="M11" s="137" t="s">
        <v>331</v>
      </c>
      <c r="O11" s="23" t="s">
        <v>340</v>
      </c>
      <c r="P11" s="23" t="str">
        <f>IF(Datenblatt!K75&gt;17,"ja","nein")</f>
        <v>nein</v>
      </c>
    </row>
    <row r="12" spans="1:17" x14ac:dyDescent="0.2">
      <c r="A12" s="39">
        <v>2</v>
      </c>
      <c r="B12" s="12" t="e">
        <f>IF(AND('K2'!D96=0,'K2'!D76=0),0,IF('K2'!D96&lt;=400,100,IF((SUM('K2'!D85,'K2'!D89,'K2'!D92,'K2'!D93,'K2'!D94,'K2'!D95))&lt;100,100,(SUM('K2'!D85,'K2'!D89,'K2'!D92,'K2'!D93,'K2'!D94,'K2'!D95)))))</f>
        <v>#NUM!</v>
      </c>
      <c r="C12" s="12" t="e">
        <f>IF(AND('K2'!D96=0,'K2'!D76=0),0,IF('K2'!D96&lt;=400,100,IF((SUM('K2'!D85,'K2'!D89,'K2'!D92,'K2'!D93,'K2'!D94,'K2'!D95)+30)&lt;100,100,(SUM('K2'!D85,'K2'!D89,'K2'!D92,'K2'!D93,'K2'!D94,'K2'!D95)+30))))</f>
        <v>#NUM!</v>
      </c>
      <c r="D12" s="12" t="e">
        <f>IF(AND('K2'!D96=0,'K2'!D76=0),0,MAX(SUM('K2'!D85,'K2'!D89,'K2'!D92,'K2'!D93,'K2'!D94,'K2'!D95),J31))</f>
        <v>#NUM!</v>
      </c>
      <c r="E12" s="12" t="e">
        <f>IF(AND('K2'!D96=0,'K2'!D76=0),0,MAX(SUM('K2'!D85,'K2'!D89,'K2'!D92,'K2'!D93,'K2'!D94,'K2'!D95)+30,J31))</f>
        <v>#NUM!</v>
      </c>
      <c r="F12" s="12" t="e">
        <f>IF('K2'!D61&lt;18,Grundfreibeträge!B12,Grundfreibeträge!C12)</f>
        <v>#NUM!</v>
      </c>
      <c r="G12" s="138" t="e">
        <f>IF('K2'!D61&lt;18,Grundfreibeträge!D12,Grundfreibeträge!E12)</f>
        <v>#NUM!</v>
      </c>
      <c r="H12" s="12" t="e">
        <f>IF('K2'!D96&lt;1000,0,IF('K2'!D96&gt;=1200,20,ROUND(('K2'!D96-1000)*10%,2)))</f>
        <v>#NUM!</v>
      </c>
      <c r="J12" s="23">
        <v>1</v>
      </c>
      <c r="K12" s="12" t="e">
        <f>IF(AND(EP!C25=0,EP!C5=0),0,IF(EP!C25&lt;=400,100,IF((SUM(EP!C14,EP!C18,EP!C21,EP!C22,EP!C23,EP!C24)+30)&lt;100,100,(SUM(EP!C14,EP!C18,EP!C21,EP!C22,EP!C23,EP!C24)+30))))</f>
        <v>#NUM!</v>
      </c>
      <c r="L12" s="12" t="e">
        <f>IF(AND(EP!C25=0,EP!C5=0),0,MAX(SUM(EP!C14,EP!C18,EP!C21,EP!C22,EP!C23,EP!C24)+30,J30))</f>
        <v>#NUM!</v>
      </c>
      <c r="M12" s="12" t="e">
        <f>IF(EP!C25&lt;1000,0,IF(EP!C25&gt;=1200,20,ROUND((EP!C25-1000)*10%,2)))</f>
        <v>#NUM!</v>
      </c>
      <c r="O12" s="23" t="s">
        <v>341</v>
      </c>
      <c r="P12" s="23" t="str">
        <f>IF(Datenblatt!L75&gt;17,"ja","nein")</f>
        <v>nein</v>
      </c>
    </row>
    <row r="13" spans="1:17" x14ac:dyDescent="0.2">
      <c r="A13" s="39">
        <v>3</v>
      </c>
      <c r="B13" s="12" t="e">
        <f>IF(AND('K2'!E96=0,'K2'!E76=0),0,IF('K2'!E96&lt;=400,100,IF((SUM('K2'!E85,'K2'!E89,'K2'!E92,'K2'!E93,'K2'!E94,'K2'!E95))&lt;100,100,(SUM('K2'!E85,'K2'!E89,'K2'!E92,'K2'!E93,'K2'!E94,'K2'!E95)))))</f>
        <v>#NUM!</v>
      </c>
      <c r="C13" s="12" t="e">
        <f>IF(AND('K2'!E96=0,'K2'!E76=0),0,IF('K2'!E96&lt;=400,100,IF((SUM('K2'!E85,'K2'!E89,'K2'!E92,'K2'!E93,'K2'!E94,'K2'!E95)+30)&lt;100,100,(SUM('K2'!E85,'K2'!E89,'K2'!E92,'K2'!E93,'K2'!E94,'K2'!E95)+30))))</f>
        <v>#NUM!</v>
      </c>
      <c r="D13" s="12" t="e">
        <f>IF(AND('K2'!E96=0,'K2'!E76=0),0,MAX(SUM('K2'!E85,'K2'!E89,'K2'!E92,'K2'!E93,'K2'!E94,'K2'!E95),J32))</f>
        <v>#NUM!</v>
      </c>
      <c r="E13" s="12" t="e">
        <f>IF(AND('K2'!E96=0,'K2'!E76=0),0,MAX(SUM('K2'!E85,'K2'!E89,'K2'!E92,'K2'!E93,'K2'!E94,'K2'!E95)+30,J32))</f>
        <v>#NUM!</v>
      </c>
      <c r="F13" s="12" t="e">
        <f>IF('K2'!E61&lt;18,Grundfreibeträge!B13,Grundfreibeträge!C13)</f>
        <v>#NUM!</v>
      </c>
      <c r="G13" s="138" t="e">
        <f>IF('K2'!E61&lt;18,Grundfreibeträge!D13,Grundfreibeträge!E13)</f>
        <v>#NUM!</v>
      </c>
      <c r="H13" s="12" t="e">
        <f>IF('K2'!E96&lt;1000,0,IF('K2'!E96&gt;=1200,20,ROUND(('K2'!E96-1000)*10%,2)))</f>
        <v>#NUM!</v>
      </c>
      <c r="J13" s="23">
        <v>2</v>
      </c>
      <c r="K13" s="12" t="e">
        <f>IF(AND(EP!D25=0,EP!D5=0),0,IF(EP!D25&lt;=400,100,IF((SUM(EP!D14,EP!D18,EP!D21,EP!D22,EP!D23,EP!D24)+30)&lt;100,100,(SUM(EP!D14,EP!D18,EP!D21,EP!D22,EP!D23,EP!D24)+30))))</f>
        <v>#NUM!</v>
      </c>
      <c r="L13" s="12" t="e">
        <f>IF(AND(EP!D25=0,EP!D5=0),0,MAX(SUM(EP!D14,EP!D18,EP!D21,EP!D22,EP!D23,EP!D24)+30,J31))</f>
        <v>#NUM!</v>
      </c>
      <c r="M13" s="12" t="e">
        <f>IF(EP!D25&lt;1000,0,IF(EP!D25&gt;=1200,20,ROUND((EP!D25-1000)*10%,2)))</f>
        <v>#NUM!</v>
      </c>
      <c r="O13" s="23" t="s">
        <v>342</v>
      </c>
      <c r="P13" s="23" t="str">
        <f>IF(Datenblatt!M75&gt;17,"ja","nein")</f>
        <v>nein</v>
      </c>
    </row>
    <row r="14" spans="1:17" x14ac:dyDescent="0.2">
      <c r="A14" s="39">
        <v>4</v>
      </c>
      <c r="B14" s="12" t="e">
        <f>IF(AND('K2'!F96=0,'K2'!F76=0),0,IF('K2'!F96&lt;=400,100,IF((SUM('K2'!F85,'K2'!F89,'K2'!F92,'K2'!F93,'K2'!F94,'K2'!F95))&lt;100,100,(SUM('K2'!F85,'K2'!F89,'K2'!F92,'K2'!F93,'K2'!F94,'K2'!F95)))))</f>
        <v>#NUM!</v>
      </c>
      <c r="C14" s="12" t="e">
        <f>IF(AND('K2'!F96=0,'K2'!F76=0),0,IF('K2'!F96&lt;=400,100,IF((SUM('K2'!F85,'K2'!F89,'K2'!F92,'K2'!F93,'K2'!F94,'K2'!F95)+30)&lt;100,100,(SUM('K2'!F85,'K2'!F89,'K2'!F92,'K2'!F93,'K2'!F94,'K2'!F95)+30))))</f>
        <v>#NUM!</v>
      </c>
      <c r="D14" s="12" t="e">
        <f>IF(AND('K2'!F96=0,'K2'!F76=0),0,MAX(SUM('K2'!F85,'K2'!F89,'K2'!F92,'K2'!F93,'K2'!F94,'K2'!F95),J33))</f>
        <v>#NUM!</v>
      </c>
      <c r="E14" s="12" t="e">
        <f>IF(AND('K2'!F96=0,'K2'!F76=0),0,MAX(SUM('K2'!F85,'K2'!F89,'K2'!F92,'K2'!F93,'K2'!F94,'K2'!F95)+30,J33))</f>
        <v>#NUM!</v>
      </c>
      <c r="F14" s="12" t="e">
        <f>IF('K2'!F61&lt;18,Grundfreibeträge!B14,Grundfreibeträge!C14)</f>
        <v>#NUM!</v>
      </c>
      <c r="G14" s="138" t="e">
        <f>IF('K2'!F61&lt;18,Grundfreibeträge!D14,Grundfreibeträge!E14)</f>
        <v>#NUM!</v>
      </c>
      <c r="H14" s="12" t="e">
        <f>IF('K2'!F96&lt;1000,0,IF('K2'!F96&gt;=1200,20,ROUND(('K2'!F96-1000)*10%,2)))</f>
        <v>#NUM!</v>
      </c>
      <c r="J14" s="23">
        <v>3</v>
      </c>
      <c r="K14" s="12" t="e">
        <f>IF(AND(EP!E25=0,EP!E5=0),0,IF(EP!E25&lt;=400,100,IF((SUM(EP!E14,EP!E18,EP!E21,EP!E22,EP!E23,EP!E24)+30)&lt;100,100,(SUM(EP!E14,EP!E18,EP!E21,EP!E22,EP!E23,EP!E24)+30))))</f>
        <v>#NUM!</v>
      </c>
      <c r="L14" s="12" t="e">
        <f>IF(AND(EP!E25=0,EP!E5=0),0,MAX(SUM(EP!E14,EP!E18,EP!E21,EP!E22,EP!E23,EP!E24)+30,J32))</f>
        <v>#NUM!</v>
      </c>
      <c r="M14" s="12" t="e">
        <f>IF(EP!E25&lt;1000,0,IF(EP!E25&gt;=1200,20,ROUND((EP!E25-1000)*10%,2)))</f>
        <v>#NUM!</v>
      </c>
      <c r="O14" s="23" t="s">
        <v>343</v>
      </c>
      <c r="P14" s="23" t="str">
        <f>IF(Datenblatt!N75&gt;17,"ja","nein")</f>
        <v>nein</v>
      </c>
    </row>
    <row r="15" spans="1:17" x14ac:dyDescent="0.2">
      <c r="A15" s="39">
        <v>5</v>
      </c>
      <c r="B15" s="12" t="e">
        <f>IF(AND('K2'!G96=0,'K2'!G76=0),0,IF('K2'!G96&lt;=400,100,IF((SUM('K2'!G85,'K2'!G89,'K2'!G92,'K2'!G93,'K2'!G94,'K2'!G95))&lt;100,100,(SUM('K2'!G85,'K2'!G89,'K2'!G92,'K2'!G93,'K2'!G94,'K2'!G95)))))</f>
        <v>#NUM!</v>
      </c>
      <c r="C15" s="12" t="e">
        <f>IF(AND('K2'!G96=0,'K2'!G76=0),0,IF('K2'!G96&lt;=400,100,IF((SUM('K2'!G85,'K2'!G89,'K2'!G92,'K2'!G93,'K2'!G94,'K2'!G95)+30)&lt;100,100,(SUM('K2'!G85,'K2'!G89,'K2'!G92,'K2'!G93,'K2'!G94,'K2'!G95)+30))))</f>
        <v>#NUM!</v>
      </c>
      <c r="D15" s="12" t="e">
        <f>IF(AND('K2'!G96=0,'K2'!G76=0),0,MAX(SUM('K2'!G85,'K2'!G89,'K2'!G92,'K2'!G93,'K2'!G94,'K2'!G95),J34))</f>
        <v>#NUM!</v>
      </c>
      <c r="E15" s="12" t="e">
        <f>IF(AND('K2'!G96=0,'K2'!G76=0),0,MAX(SUM('K2'!G85,'K2'!G89,'K2'!G92,'K2'!G93,'K2'!G94,'K2'!G95)+30,J34))</f>
        <v>#NUM!</v>
      </c>
      <c r="F15" s="12" t="e">
        <f>IF('K2'!G61&lt;18,Grundfreibeträge!B15,Grundfreibeträge!C15)</f>
        <v>#NUM!</v>
      </c>
      <c r="G15" s="138" t="e">
        <f>IF('K2'!G61&lt;18,Grundfreibeträge!D15,Grundfreibeträge!E15)</f>
        <v>#NUM!</v>
      </c>
      <c r="H15" s="12" t="e">
        <f>IF('K2'!G96&lt;1000,0,IF('K2'!G96&gt;=1200,20,ROUND(('K2'!G96-1000)*10%,2)))</f>
        <v>#NUM!</v>
      </c>
      <c r="J15" s="23">
        <v>4</v>
      </c>
      <c r="K15" s="12" t="e">
        <f>IF(AND(EP!F25=0,EP!F5=0),0,IF(EP!F25&lt;=400,100,IF((SUM(EP!F14,EP!F18,EP!F21,EP!F22,EP!F23,EP!F24)+30)&lt;100,100,(SUM(EP!F14,EP!F18,EP!F21,EP!F22,EP!F23,EP!F24)+30))))</f>
        <v>#NUM!</v>
      </c>
      <c r="L15" s="12" t="e">
        <f>IF(AND(EP!F25=0,EP!F5=0),0,MAX(SUM(EP!F14,EP!F18,EP!F21,EP!F22,EP!F23,EP!F24)+30,J33))</f>
        <v>#NUM!</v>
      </c>
      <c r="M15" s="12" t="e">
        <f>IF(EP!F25&lt;1000,0,IF(EP!F25&gt;=1200,20,ROUND((EP!F25-1000)*10%,2)))</f>
        <v>#NUM!</v>
      </c>
      <c r="O15" s="23" t="s">
        <v>344</v>
      </c>
      <c r="P15" s="23" t="str">
        <f>IF(Datenblatt!O75&gt;17,"ja","nein")</f>
        <v>nein</v>
      </c>
    </row>
    <row r="16" spans="1:17" ht="15" thickBot="1" x14ac:dyDescent="0.25">
      <c r="A16" s="43">
        <v>6</v>
      </c>
      <c r="B16" s="16" t="e">
        <f>IF(AND('K2'!H96=0,'K2'!H76=0),0,IF('K2'!H96&lt;=400,100,IF((SUM('K2'!H85,'K2'!H89,'K2'!H92,'K2'!H93,'K2'!H94,'K2'!H95))&lt;100,100,(SUM('K2'!H85,'K2'!H89,'K2'!H92,'K2'!H93,'K2'!H94,'K2'!H95)))))</f>
        <v>#NUM!</v>
      </c>
      <c r="C16" s="16" t="e">
        <f>IF(AND('K2'!H96=0,'K2'!H76=0),0,IF('K2'!H96&lt;=400,100,IF((SUM('K2'!H85,'K2'!H89,'K2'!H92,'K2'!H93,'K2'!H94,'K2'!H95)+30)&lt;100,100,(SUM('K2'!H85,'K2'!H89,'K2'!H92,'K2'!H93,'K2'!H94,'K2'!H95)+30))))</f>
        <v>#NUM!</v>
      </c>
      <c r="D16" s="16" t="e">
        <f>IF(AND('K2'!H96=0,'K2'!H76=0),0,MAX(SUM('K2'!H85,'K2'!H89,'K2'!H92,'K2'!H93,'K2'!H94,'K2'!H95),J35))</f>
        <v>#NUM!</v>
      </c>
      <c r="E16" s="16" t="e">
        <f>IF(AND('K2'!H96=0,'K2'!H76=0),0,MAX(SUM('K2'!H85,'K2'!H89,'K2'!H92,'K2'!H93,'K2'!H94,'K2'!H95)+30,J35))</f>
        <v>#NUM!</v>
      </c>
      <c r="F16" s="16" t="e">
        <f>IF('K2'!H61&lt;18,Grundfreibeträge!B16,Grundfreibeträge!C16)</f>
        <v>#NUM!</v>
      </c>
      <c r="G16" s="139" t="e">
        <f>IF('K2'!H61&lt;18,Grundfreibeträge!D16,Grundfreibeträge!E16)</f>
        <v>#NUM!</v>
      </c>
      <c r="H16" s="12" t="e">
        <f>IF('K2'!H96&lt;1000,0,IF('K2'!H96&gt;=1200,20,ROUND(('K2'!H96-1000)*10%,2)))</f>
        <v>#NUM!</v>
      </c>
      <c r="J16" s="23">
        <v>5</v>
      </c>
      <c r="K16" s="12" t="e">
        <f>IF(AND(EP!G25=0,EP!G5=0),0,IF(EP!G25&lt;=400,100,IF((SUM(EP!G14,EP!G18,EP!G21,EP!G22,EP!G23,EP!G24)+30)&lt;100,100,(SUM(EP!G14,EP!G18,EP!G21,EP!G22,EP!G23,EP!G24)+30))))</f>
        <v>#NUM!</v>
      </c>
      <c r="L16" s="12" t="e">
        <f>IF(AND(EP!G25=0,EP!G5=0),0,MAX(SUM(EP!G14,EP!G18,EP!G21,EP!G22,EP!G23,EP!G24)+30,J34))</f>
        <v>#NUM!</v>
      </c>
      <c r="M16" s="12" t="e">
        <f>IF(EP!G25&lt;1000,0,IF(EP!G25&gt;=1200,20,ROUND((EP!G25-1000)*10%,2)))</f>
        <v>#NUM!</v>
      </c>
      <c r="O16" s="23" t="s">
        <v>345</v>
      </c>
      <c r="P16" s="23" t="str">
        <f>IF(Datenblatt!P75&gt;17,"ja","nein")</f>
        <v>nein</v>
      </c>
    </row>
    <row r="17" spans="1:16" x14ac:dyDescent="0.2">
      <c r="A17" s="36" t="s">
        <v>15</v>
      </c>
      <c r="B17" s="37" t="s">
        <v>248</v>
      </c>
      <c r="C17" s="37" t="s">
        <v>245</v>
      </c>
      <c r="D17" s="37" t="s">
        <v>246</v>
      </c>
      <c r="E17" s="37" t="s">
        <v>247</v>
      </c>
      <c r="F17" s="37" t="s">
        <v>249</v>
      </c>
      <c r="G17" s="38" t="s">
        <v>250</v>
      </c>
      <c r="J17" s="23">
        <v>6</v>
      </c>
      <c r="K17" s="12" t="e">
        <f>IF(AND(EP!H25=0,EP!H5=0),0,IF(EP!H25&lt;=400,100,IF((SUM(EP!H14,EP!H18,EP!H21,EP!H22,EP!H23,EP!H24)+30)&lt;100,100,(SUM(EP!H14,EP!H18,EP!H21,EP!H22,EP!H23,EP!H24)+30))))</f>
        <v>#NUM!</v>
      </c>
      <c r="L17" s="12" t="e">
        <f>IF(AND(EP!H25=0,EP!H5=0),0,MAX(SUM(EP!H14,EP!H18,EP!H21,EP!H22,EP!H23,EP!H24)+30,J35))</f>
        <v>#NUM!</v>
      </c>
      <c r="M17" s="12" t="e">
        <f>IF(EP!H25&lt;1000,0,IF(EP!H25&gt;=1200,20,ROUND((EP!H25-1000)*10%,2)))</f>
        <v>#NUM!</v>
      </c>
      <c r="O17" s="23" t="s">
        <v>378</v>
      </c>
      <c r="P17" s="23" t="str">
        <f>IF(Datenblatt!Q75&gt;17,"ja","nein")</f>
        <v>nein</v>
      </c>
    </row>
    <row r="18" spans="1:16" x14ac:dyDescent="0.2">
      <c r="A18" s="39">
        <v>1</v>
      </c>
      <c r="B18" s="12" t="e">
        <f>IF(AND('K3'!C96=0,'K3'!C76=0),0,IF('K3'!C96&lt;=400,100,IF((SUM('K3'!C85,'K3'!C89,'K3'!C92,'K3'!C93,'K3'!C94,'K3'!C95))&lt;100,100,(SUM('K3'!C85,'K3'!C89,'K3'!C92,'K3'!C93,'K3'!C94,'K3'!C95)))))</f>
        <v>#NUM!</v>
      </c>
      <c r="C18" s="12" t="e">
        <f>IF(AND('K3'!C96=0,'K3'!C76=0),0,IF('K3'!C96&lt;=400,100,IF((SUM('K3'!C85,'K3'!C89,'K3'!C92,'K3'!C93,'K3'!C94,'K3'!C95)+30)&lt;100,100,(SUM('K3'!C85,'K3'!C89,'K3'!C92,'K3'!C93,'K3'!C94,'K3'!C95)+30))))</f>
        <v>#NUM!</v>
      </c>
      <c r="D18" s="12" t="e">
        <f>IF(AND('K3'!C96=0,'K3'!C76=0),0,MAX(SUM('K3'!C85,'K3'!C89,'K3'!C92,'K3'!C93,'K3'!C94,'K3'!C95),J30))</f>
        <v>#NUM!</v>
      </c>
      <c r="E18" s="12" t="e">
        <f>IF(AND('K3'!C96=0,'K3'!C76=0),0,MAX(SUM('K3'!C85,'K3'!C89,'K3'!C92,'K3'!C93,'K3'!C94,'K3'!C95)+30,J30))</f>
        <v>#NUM!</v>
      </c>
      <c r="F18" s="12" t="e">
        <f>IF('K3'!C61&lt;18,Grundfreibeträge!B18,Grundfreibeträge!C18)</f>
        <v>#NUM!</v>
      </c>
      <c r="G18" s="29" t="e">
        <f>IF('K3'!C61&lt;18,Grundfreibeträge!D18,Grundfreibeträge!E18)</f>
        <v>#NUM!</v>
      </c>
      <c r="H18" s="12" t="e">
        <f>IF('K3'!C96&lt;1000,0,IF('K3'!C96&gt;=1200,20,ROUND(('K3'!C96-1000)*10%,2)))</f>
        <v>#NUM!</v>
      </c>
      <c r="O18" s="23" t="s">
        <v>379</v>
      </c>
      <c r="P18" s="23" t="str">
        <f>IF(Datenblatt!R75&gt;17,"ja","nein")</f>
        <v>nein</v>
      </c>
    </row>
    <row r="19" spans="1:16" x14ac:dyDescent="0.2">
      <c r="A19" s="39">
        <v>2</v>
      </c>
      <c r="B19" s="12" t="e">
        <f>IF(AND('K3'!D96=0,'K3'!D76=0),0,IF('K3'!D96&lt;=400,100,IF((SUM('K3'!D85,'K3'!D89,'K3'!D92,'K3'!D93,'K3'!D94,'K3'!D95))&lt;100,100,(SUM('K3'!D85,'K3'!D89,'K3'!D92,'K3'!D93,'K3'!D94,'K3'!D95)))))</f>
        <v>#NUM!</v>
      </c>
      <c r="C19" s="12" t="e">
        <f>IF(AND('K3'!D96=0,'K3'!D76=0),0,IF('K3'!D96&lt;=400,100,IF((SUM('K3'!D85,'K3'!D89,'K3'!D92,'K3'!D93,'K3'!D94,'K3'!D95)+30)&lt;100,100,(SUM('K3'!D85,'K3'!D89,'K3'!D92,'K3'!D93,'K3'!D94,'K3'!D95)+30))))</f>
        <v>#NUM!</v>
      </c>
      <c r="D19" s="12" t="e">
        <f>IF(AND('K3'!D96=0,'K3'!D76=0),0,MAX(SUM('K3'!D85,'K3'!D89,'K3'!D92,'K3'!D93,'K3'!D94,'K3'!D95),J31))</f>
        <v>#NUM!</v>
      </c>
      <c r="E19" s="12" t="e">
        <f>IF(AND('K3'!D96=0,'K3'!D76=0),0,MAX(SUM('K3'!D85,'K3'!D89,'K3'!D92,'K3'!D93,'K3'!D94,'K3'!D95)+30,J31))</f>
        <v>#NUM!</v>
      </c>
      <c r="F19" s="12" t="e">
        <f>IF('K3'!D61&lt;18,Grundfreibeträge!B19,Grundfreibeträge!C19)</f>
        <v>#NUM!</v>
      </c>
      <c r="G19" s="29" t="e">
        <f>IF('K3'!D61&lt;18,Grundfreibeträge!D19,Grundfreibeträge!E19)</f>
        <v>#NUM!</v>
      </c>
      <c r="H19" s="12" t="e">
        <f>IF('K3'!D96&lt;1000,0,IF('K3'!D96&gt;=1200,20,ROUND(('K3'!D96-1000)*10%,2)))</f>
        <v>#NUM!</v>
      </c>
      <c r="O19" s="23" t="s">
        <v>380</v>
      </c>
      <c r="P19" s="23" t="str">
        <f>IF(Datenblatt!S75&gt;17,"ja","nein")</f>
        <v>nein</v>
      </c>
    </row>
    <row r="20" spans="1:16" x14ac:dyDescent="0.2">
      <c r="A20" s="39">
        <v>3</v>
      </c>
      <c r="B20" s="12" t="e">
        <f>IF(AND('K3'!E96=0,'K3'!E76=0),0,IF('K3'!E96&lt;=400,100,IF((SUM('K3'!E85,'K3'!E89,'K3'!E92,'K3'!E93,'K3'!E95,'K3'!E95))&lt;100,100,(SUM('K3'!E85,'K3'!E89,'K3'!E92,'K3'!E93,'K3'!E95,'K3'!E95)))))</f>
        <v>#NUM!</v>
      </c>
      <c r="C20" s="12" t="e">
        <f>IF(AND('K3'!E96=0,'K3'!E76=0),0,IF('K3'!E96&lt;=400,100,IF((SUM('K3'!E85,'K3'!E89,'K3'!E92,'K3'!E93,'K3'!E95,'K3'!E95)+30)&lt;100,100,(SUM('K3'!E85,'K3'!E89,'K3'!E92,'K3'!E93,'K3'!E95,'K3'!E95)+30))))</f>
        <v>#NUM!</v>
      </c>
      <c r="D20" s="12" t="e">
        <f>IF(AND('K3'!E96=0,'K3'!E76=0),0,MAX(SUM('K3'!E85,'K3'!E89,'K3'!E92,'K3'!E93,'K3'!E94,'K3'!E95),J32))</f>
        <v>#NUM!</v>
      </c>
      <c r="E20" s="12" t="e">
        <f>IF(AND('K3'!E96=0,'K3'!E76=0),0,MAX(SUM('K3'!E85,'K3'!E89,'K3'!E92,'K3'!E93,'K3'!E94,'K3'!E95)+30,J32))</f>
        <v>#NUM!</v>
      </c>
      <c r="F20" s="12" t="e">
        <f>IF('K3'!E61&lt;18,Grundfreibeträge!B20,Grundfreibeträge!C20)</f>
        <v>#NUM!</v>
      </c>
      <c r="G20" s="29" t="e">
        <f>IF('K3'!E61&lt;18,Grundfreibeträge!D20,Grundfreibeträge!E20)</f>
        <v>#NUM!</v>
      </c>
      <c r="H20" s="12" t="e">
        <f>IF('K3'!E96&lt;1000,0,IF('K3'!E96&gt;=1200,20,ROUND(('K3'!E96-1000)*10%,2)))</f>
        <v>#NUM!</v>
      </c>
    </row>
    <row r="21" spans="1:16" x14ac:dyDescent="0.2">
      <c r="A21" s="39">
        <v>4</v>
      </c>
      <c r="B21" s="12" t="e">
        <f>IF(AND('K3'!F96=0,'K3'!F76=0),0,IF('K3'!F96&lt;=400,100,IF((SUM('K3'!F85,'K3'!F89,'K3'!F92,'K3'!F93,'K3'!F94,'K3'!F95))&lt;100,100,(SUM('K3'!F85,'K3'!F89,'K3'!F92,'K3'!F93,'K3'!F94,'K3'!F95)))))</f>
        <v>#NUM!</v>
      </c>
      <c r="C21" s="12" t="e">
        <f>IF(AND('K3'!F96=0,'K3'!F76=0),0,IF('K3'!F96&lt;=400,100,IF((SUM('K3'!F85,'K3'!F89,'K3'!F92,'K3'!F93,'K3'!F94,'K3'!F95)+30)&lt;100,100,(SUM('K3'!F85,'K3'!F89,'K3'!F92,'K3'!F93,'K3'!F94,'K3'!F95)+30))))</f>
        <v>#NUM!</v>
      </c>
      <c r="D21" s="12" t="e">
        <f>IF(AND('K3'!F96=0,'K3'!F76=0),0,MAX(SUM('K3'!F85,'K3'!F89,'K3'!F92,'K3'!F93,'K3'!F94,'K3'!F95),J33))</f>
        <v>#NUM!</v>
      </c>
      <c r="E21" s="12" t="e">
        <f>IF(AND('K3'!F96=0,'K3'!F76=0),0,MAX(SUM('K3'!F85,'K3'!F89,'K3'!F92,'K3'!F93,'K3'!F94,'K3'!F95)+30,J33))</f>
        <v>#NUM!</v>
      </c>
      <c r="F21" s="12" t="e">
        <f>IF('K3'!F61&lt;18,Grundfreibeträge!B21,Grundfreibeträge!C21)</f>
        <v>#NUM!</v>
      </c>
      <c r="G21" s="29" t="e">
        <f>IF('K3'!F61&lt;18,Grundfreibeträge!D21,Grundfreibeträge!E21)</f>
        <v>#NUM!</v>
      </c>
      <c r="H21" s="12" t="e">
        <f>IF('K3'!F96&lt;1000,0,IF('K3'!F96&gt;=1200,20,ROUND(('K3'!F96-1000)*10%,2)))</f>
        <v>#NUM!</v>
      </c>
    </row>
    <row r="22" spans="1:16" x14ac:dyDescent="0.2">
      <c r="A22" s="39">
        <v>5</v>
      </c>
      <c r="B22" s="12" t="e">
        <f>IF(AND('K3'!G96=0,'K3'!G76=0),0,IF('K3'!G96&lt;=400,100,IF((SUM('K3'!G85,'K3'!G89,'K3'!G92,'K3'!G93,'K3'!G94,'K3'!G95))&lt;100,100,(SUM('K3'!G85,'K3'!G89,'K3'!G92,'K3'!G93,'K3'!G94,'K3'!G95)))))</f>
        <v>#NUM!</v>
      </c>
      <c r="C22" s="12" t="e">
        <f>IF(AND('K3'!G96=0,'K3'!G76=0),0,IF('K3'!G96&lt;=400,100,IF((SUM('K3'!G85,'K3'!G89,'K3'!G92,'K3'!G93,'K3'!G94,'K3'!G95)+30)&lt;100,100,(SUM('K3'!G85,'K3'!G89,'K3'!G92,'K3'!G93,'K3'!G94,'K3'!G95)+30))))</f>
        <v>#NUM!</v>
      </c>
      <c r="D22" s="12" t="e">
        <f>IF(AND('K3'!G96=0,'K3'!G76=0),0,MAX(SUM('K3'!G85,'K3'!G89,'K3'!G92,'K3'!G93,'K3'!G94,'K3'!G95),J34))</f>
        <v>#NUM!</v>
      </c>
      <c r="E22" s="12" t="e">
        <f>IF(AND('K3'!G96=0,'K3'!G76=0),0,MAX(SUM('K3'!G85,'K3'!G89,'K3'!G92,'K3'!G93,'K3'!G94,'K3'!G95)+30,J34))</f>
        <v>#NUM!</v>
      </c>
      <c r="F22" s="12" t="e">
        <f>IF('K3'!G61&lt;18,Grundfreibeträge!B22,Grundfreibeträge!C22)</f>
        <v>#NUM!</v>
      </c>
      <c r="G22" s="29" t="e">
        <f>IF('K3'!G61&lt;18,Grundfreibeträge!D22,Grundfreibeträge!E22)</f>
        <v>#NUM!</v>
      </c>
      <c r="H22" s="12" t="e">
        <f>IF('K3'!G96&lt;1000,0,IF('K3'!G96&gt;=1200,20,ROUND(('K3'!G96-1000)*10%,2)))</f>
        <v>#NUM!</v>
      </c>
    </row>
    <row r="23" spans="1:16" ht="15" thickBot="1" x14ac:dyDescent="0.25">
      <c r="A23" s="43">
        <v>6</v>
      </c>
      <c r="B23" s="16" t="e">
        <f>IF(AND('K3'!H96=0,'K3'!H76=0),0,IF('K3'!H96&lt;=400,100,IF((SUM('K3'!H85,'K3'!H89,'K3'!H92,'K3'!H93,'K3'!H95,'K3'!H95))&lt;100,100,(SUM('K3'!H85,'K3'!H89,'K3'!H92,'K3'!H93,'K3'!H95,'K3'!H95)))))</f>
        <v>#NUM!</v>
      </c>
      <c r="C23" s="16" t="e">
        <f>IF(AND('K3'!H96=0,'K3'!H76=0),0,IF('K3'!H96&lt;=400,100,IF((SUM('K3'!H85,'K3'!H89,'K3'!H92,'K3'!H93,'K3'!H95,'K3'!H95)+30)&lt;100,100,(SUM('K3'!H85,'K3'!H89,'K3'!H92,'K3'!H93,'K3'!H95,'K3'!H95)+30))))</f>
        <v>#NUM!</v>
      </c>
      <c r="D23" s="16" t="e">
        <f>IF(AND('K3'!H96=0,'K3'!H76=0),0,MAX(SUM('K3'!H85,'K3'!H89,'K3'!H92,'K3'!H93,'K3'!H94,'K3'!H95),J35))</f>
        <v>#NUM!</v>
      </c>
      <c r="E23" s="16" t="e">
        <f>IF(AND('K3'!H96=0,'K3'!H76=0),0,MAX(SUM('K3'!H85,'K3'!H89,'K3'!H92,'K3'!H93,'K3'!H94,'K3'!H95)+30,J35))</f>
        <v>#NUM!</v>
      </c>
      <c r="F23" s="16" t="e">
        <f>IF('K3'!H61&lt;18,Grundfreibeträge!B23,Grundfreibeträge!C23)</f>
        <v>#NUM!</v>
      </c>
      <c r="G23" s="44" t="e">
        <f>IF('K3'!H61&lt;18,Grundfreibeträge!D23,Grundfreibeträge!E23)</f>
        <v>#NUM!</v>
      </c>
      <c r="H23" s="12" t="e">
        <f>IF('K3'!H96&lt;1000,0,IF('K3'!H96&gt;=1200,20,ROUND(('K3'!H96-1000)*10%,2)))</f>
        <v>#NUM!</v>
      </c>
    </row>
    <row r="24" spans="1:16" x14ac:dyDescent="0.2">
      <c r="A24" s="36" t="s">
        <v>16</v>
      </c>
      <c r="B24" s="37" t="s">
        <v>248</v>
      </c>
      <c r="C24" s="37" t="s">
        <v>245</v>
      </c>
      <c r="D24" s="37" t="s">
        <v>246</v>
      </c>
      <c r="E24" s="37" t="s">
        <v>247</v>
      </c>
      <c r="F24" s="37" t="s">
        <v>249</v>
      </c>
      <c r="G24" s="38" t="s">
        <v>250</v>
      </c>
    </row>
    <row r="25" spans="1:16" x14ac:dyDescent="0.2">
      <c r="A25" s="39">
        <v>1</v>
      </c>
      <c r="B25" s="12" t="e">
        <f>IF(AND('K4'!C96=0,'K4'!C76=0),0,IF('K4'!C96&lt;=400,100,IF((SUM('K4'!C85,'K4'!C89,'K4'!C92,'K4'!C93,'K4'!C94,'K4'!C95))&lt;100,100,(SUM('K4'!C85,'K4'!C89,'K4'!C92,'K4'!C93,'K4'!C94,'K4'!C95)))))</f>
        <v>#NUM!</v>
      </c>
      <c r="C25" s="12" t="e">
        <f>IF(AND('K4'!C96=0,'K4'!C76=0),0,IF('K4'!C96&lt;=400,100,IF((SUM('K4'!C85,'K4'!C89,'K4'!C92,'K4'!C93,'K4'!C94,'K4'!C95)+30)&lt;100,100,(SUM('K4'!C85,'K4'!C89,'K4'!C92,'K4'!C93,'K4'!C94,'K4'!C95)+30))))</f>
        <v>#NUM!</v>
      </c>
      <c r="D25" s="12" t="e">
        <f>IF(AND('K4'!C96=0,'K4'!C76=0),0,MAX(SUM('K4'!C85,'K4'!C89,'K4'!C92,'K4'!C93,'K4'!C94,'K4'!C95),J30))</f>
        <v>#NUM!</v>
      </c>
      <c r="E25" s="12" t="e">
        <f>IF(AND('K4'!C96=0,'K4'!C76=0),0,MAX(SUM('K4'!C85,'K4'!C89,'K4'!C92,'K4'!C93,'K4'!C94,'K4'!C95)+30,J30))</f>
        <v>#NUM!</v>
      </c>
      <c r="F25" s="12" t="e">
        <f>IF('K4'!C61&lt;18,Grundfreibeträge!B25,Grundfreibeträge!C25)</f>
        <v>#NUM!</v>
      </c>
      <c r="G25" s="29" t="e">
        <f>IF('K4'!C61&lt;18,Grundfreibeträge!D25,Grundfreibeträge!E25)</f>
        <v>#NUM!</v>
      </c>
      <c r="H25" s="12" t="e">
        <f>IF('K4'!C96&lt;1000,0,IF('K4'!C96&gt;=1200,20,ROUND(('K4'!C96-1000)*10%,2)))</f>
        <v>#NUM!</v>
      </c>
    </row>
    <row r="26" spans="1:16" ht="15" x14ac:dyDescent="0.25">
      <c r="A26" s="39">
        <v>2</v>
      </c>
      <c r="B26" s="12" t="e">
        <f>IF(AND('K4'!D96=0,'K4'!D76=0),0,IF('K4'!D96&lt;=400,100,IF((SUM('K4'!D85,'K4'!D89,'K4'!D92,'K4'!D93,'K4'!D94,'K4'!D95))&lt;100,100,(SUM('K4'!D85,'K4'!D89,'K4'!D92,'K4'!D93,'K4'!D94,'K4'!D95)))))</f>
        <v>#NUM!</v>
      </c>
      <c r="C26" s="12" t="e">
        <f>IF(AND('K4'!D96=0,'K4'!D76=0),0,IF('K4'!D96&lt;=400,100,IF((SUM('K4'!D85,'K4'!D89,'K4'!D92,'K4'!D93,'K4'!D94,'K4'!D95)+30)&lt;100,100,(SUM('K4'!D85,'K4'!D89,'K4'!D92,'K4'!D93,'K4'!D94,'K4'!D95)+30))))</f>
        <v>#NUM!</v>
      </c>
      <c r="D26" s="12" t="e">
        <f>IF(AND('K4'!D96=0,'K4'!D76=0),0,MAX(SUM('K4'!D85,'K4'!D89,'K4'!D92,'K4'!D93,'K4'!D94,'K4'!D95),J31))</f>
        <v>#NUM!</v>
      </c>
      <c r="E26" s="12" t="e">
        <f>IF(AND('K4'!D96=0,'K4'!D76=0),0,MAX(SUM('K4'!D85,'K4'!D89,'K4'!D92,'K4'!D93,'K4'!D94,'K4'!D95)+30,J31))</f>
        <v>#NUM!</v>
      </c>
      <c r="F26" s="12" t="e">
        <f>IF('K4'!D61&lt;18,Grundfreibeträge!B26,Grundfreibeträge!C26)</f>
        <v>#NUM!</v>
      </c>
      <c r="G26" s="29" t="e">
        <f>IF('K4'!D61&lt;18,Grundfreibeträge!D26,Grundfreibeträge!E26)</f>
        <v>#NUM!</v>
      </c>
      <c r="H26" s="12" t="e">
        <f>IF('K4'!D96&lt;1000,0,IF('K4'!D96&gt;=1200,20,ROUND(('K4'!D96-1000)*10%,2)))</f>
        <v>#NUM!</v>
      </c>
      <c r="J26" s="22" t="s">
        <v>599</v>
      </c>
    </row>
    <row r="27" spans="1:16" x14ac:dyDescent="0.2">
      <c r="A27" s="39">
        <v>3</v>
      </c>
      <c r="B27" s="12" t="e">
        <f>IF(AND('K4'!E96=0,'K4'!E76=0),0,IF('K4'!E96&lt;=400,100,IF((SUM('K4'!E85,'K4'!E89,'K4'!E92,'K4'!E93,'K4'!E94,'K4'!E95))&lt;100,100,(SUM('K4'!E85,'K4'!E89,'K4'!E92,'K4'!E93,'K4'!E94,'K4'!E95)))))</f>
        <v>#NUM!</v>
      </c>
      <c r="C27" s="12" t="e">
        <f>IF(AND('K4'!E96=0,'K4'!E76=0),0,IF('K4'!E96&lt;=400,100,IF((SUM('K4'!E85,'K4'!E89,'K4'!E92,'K4'!E93,'K4'!E94,'K4'!E95)+30)&lt;100,100,(SUM('K4'!E85,'K4'!E89,'K4'!E92,'K4'!E93,'K4'!E94,'K4'!E95)+30))))</f>
        <v>#NUM!</v>
      </c>
      <c r="D27" s="12" t="e">
        <f>IF(AND('K4'!E96=0,'K4'!E76=0),0,MAX(SUM('K4'!E85,'K4'!E89,'K4'!E92,'K4'!E93,'K4'!E94,'K4'!E95),J32))</f>
        <v>#NUM!</v>
      </c>
      <c r="E27" s="12" t="e">
        <f>IF(AND('K4'!E96=0,'K4'!E76=0),0,MAX(SUM('K4'!E85,'K4'!E89,'K4'!E92,'K4'!E93,'K4'!E94,'K4'!E95)+30,J32))</f>
        <v>#NUM!</v>
      </c>
      <c r="F27" s="12" t="e">
        <f>IF('K4'!E61&lt;18,Grundfreibeträge!B27,Grundfreibeträge!C27)</f>
        <v>#NUM!</v>
      </c>
      <c r="G27" s="29" t="e">
        <f>IF('K4'!E61&lt;18,Grundfreibeträge!D27,Grundfreibeträge!E27)</f>
        <v>#NUM!</v>
      </c>
      <c r="H27" s="12" t="e">
        <f>IF('K4'!E96&lt;1000,0,IF('K4'!E96&gt;=1200,20,ROUND(('K4'!E96-1000)*10%,2)))</f>
        <v>#NUM!</v>
      </c>
      <c r="J27" t="s">
        <v>600</v>
      </c>
      <c r="N27" s="801" t="s">
        <v>618</v>
      </c>
    </row>
    <row r="28" spans="1:16" ht="15" x14ac:dyDescent="0.25">
      <c r="A28" s="39">
        <v>4</v>
      </c>
      <c r="B28" s="12" t="e">
        <f>IF(AND('K4'!F96=0,'K4'!F76=0),0,IF('K4'!F96&lt;=400,100,IF((SUM('K4'!F85,'K4'!F89,'K4'!F92,'K4'!F93,'K4'!F94,'K4'!F95))&lt;100,100,(SUM('K4'!F85,'K4'!F89,'K4'!F92,'K4'!F93,'K4'!F94,'K4'!F95)))))</f>
        <v>#NUM!</v>
      </c>
      <c r="C28" s="12" t="e">
        <f>IF(AND('K4'!F96=0,'K4'!F76=0),0,IF('K4'!F96&lt;=400,100,IF((SUM('K4'!F85,'K4'!F89,'K4'!F92,'K4'!F93,'K4'!F94,'K4'!F95)+30)&lt;100,100,(SUM('K4'!F85,'K4'!F89,'K4'!F92,'K4'!F93,'K4'!F94,'K4'!F95)+30))))</f>
        <v>#NUM!</v>
      </c>
      <c r="D28" s="12" t="e">
        <f>IF(AND('K4'!F96=0,'K4'!F76=0),0,MAX(SUM('K4'!F85,'K4'!F89,'K4'!F92,'K4'!F93,'K4'!F94,'K4'!F95),J33))</f>
        <v>#NUM!</v>
      </c>
      <c r="E28" s="12" t="e">
        <f>IF(AND('K4'!F96=0,'K4'!F76=0),0,MAX(SUM('K4'!F85,'K4'!F89,'K4'!F92,'K4'!F93,'K4'!F94,'K4'!F95)+30,J33))</f>
        <v>#NUM!</v>
      </c>
      <c r="F28" s="12" t="e">
        <f>IF('K4'!F61&lt;18,Grundfreibeträge!B28,Grundfreibeträge!C28)</f>
        <v>#NUM!</v>
      </c>
      <c r="G28" s="29" t="e">
        <f>IF('K4'!F61&lt;18,Grundfreibeträge!D28,Grundfreibeträge!E28)</f>
        <v>#NUM!</v>
      </c>
      <c r="H28" s="12" t="e">
        <f>IF('K4'!F96&lt;1000,0,IF('K4'!F96&gt;=1200,20,ROUND(('K4'!F96-1000)*10%,2)))</f>
        <v>#NUM!</v>
      </c>
      <c r="I28" s="800"/>
      <c r="J28" s="3"/>
      <c r="K28" s="23">
        <v>2019</v>
      </c>
      <c r="L28" s="23">
        <v>100</v>
      </c>
      <c r="M28" s="14"/>
      <c r="N28" s="805" t="s">
        <v>617</v>
      </c>
      <c r="O28" s="806">
        <f>BG!D2</f>
        <v>0</v>
      </c>
    </row>
    <row r="29" spans="1:16" x14ac:dyDescent="0.2">
      <c r="A29" s="39">
        <v>5</v>
      </c>
      <c r="B29" s="12" t="e">
        <f>IF(AND('K4'!G96=0,'K4'!G76=0),0,IF('K4'!G96&lt;=400,100,IF((SUM('K4'!G85,'K4'!G89,'K4'!G92,'K4'!G93,'K4'!G94,'K4'!G95))&lt;100,100,(SUM('K4'!G85,'K4'!G89,'K4'!G92,'K4'!G93,'K4'!G94,'K4'!G95)))))</f>
        <v>#NUM!</v>
      </c>
      <c r="C29" s="12" t="e">
        <f>IF(AND('K4'!G96=0,'K4'!G76=0),0,IF('K4'!G96&lt;=400,100,IF((SUM('K4'!G85,'K4'!G89,'K4'!G92,'K4'!G93,'K4'!G94,'K4'!G95)+30)&lt;100,100,(SUM('K4'!G85,'K4'!G89,'K4'!G92,'K4'!G93,'K4'!G94,'K4'!G95)+30))))</f>
        <v>#NUM!</v>
      </c>
      <c r="D29" s="12" t="e">
        <f>IF(AND('K4'!G96=0,'K4'!G76=0),0,MAX(SUM('K4'!G85,'K4'!G89,'K4'!G92,'K4'!G93,'K4'!G94,'K4'!G95),J34))</f>
        <v>#NUM!</v>
      </c>
      <c r="E29" s="12" t="e">
        <f>IF(AND('K4'!G96=0,'K4'!G76=0),0,MAX(SUM('K4'!G85,'K4'!G89,'K4'!G92,'K4'!G93,'K4'!G94,'K4'!G95)+30,J34))</f>
        <v>#NUM!</v>
      </c>
      <c r="F29" s="12" t="e">
        <f>IF('K4'!G61&lt;18,Grundfreibeträge!B29,Grundfreibeträge!C29)</f>
        <v>#NUM!</v>
      </c>
      <c r="G29" s="29" t="e">
        <f>IF('K4'!G61&lt;18,Grundfreibeträge!D29,Grundfreibeträge!E29)</f>
        <v>#NUM!</v>
      </c>
      <c r="H29" s="12" t="e">
        <f>IF('K4'!G96&lt;1000,0,IF('K4'!G96&gt;=1200,20,ROUND(('K4'!G96-1000)*10%,2)))</f>
        <v>#NUM!</v>
      </c>
      <c r="I29" s="800"/>
      <c r="J29" s="802"/>
      <c r="K29" s="23">
        <v>2020</v>
      </c>
      <c r="L29" s="23">
        <v>100</v>
      </c>
      <c r="M29" s="14"/>
      <c r="N29" s="803" t="s">
        <v>611</v>
      </c>
      <c r="O29" s="204" t="e">
        <f>YEAR(EDATE($O$28,-6))</f>
        <v>#NUM!</v>
      </c>
    </row>
    <row r="30" spans="1:16" ht="15.75" thickBot="1" x14ac:dyDescent="0.3">
      <c r="A30" s="43">
        <v>6</v>
      </c>
      <c r="B30" s="16" t="e">
        <f>IF(AND('K4'!H96=0,'K4'!H76=0),0,IF('K4'!H96&lt;=400,100,IF((SUM('K4'!H85,'K4'!H89,'K4'!H92,'K4'!H93,'K4'!H94,'K4'!H95))&lt;100,100,(SUM('K4'!H85,'K4'!H89,'K4'!H92,'K4'!H93,'K4'!H94,'K4'!H95)))))</f>
        <v>#NUM!</v>
      </c>
      <c r="C30" s="16" t="e">
        <f>IF(AND('K4'!H96=0,'K4'!H76=0),0,IF('K4'!H96&lt;=400,100,IF((SUM('K4'!H85,'K4'!H89,'K4'!H92,'K4'!H93,'K4'!H94,'K4'!H95)+30)&lt;100,100,(SUM('K4'!H85,'K4'!H89,'K4'!H92,'K4'!H93,'K4'!H94,'K4'!H95)+30))))</f>
        <v>#NUM!</v>
      </c>
      <c r="D30" s="16" t="e">
        <f>IF(AND('K4'!H96=0,'K4'!H76=0),0,MAX(SUM('K4'!H85,'K4'!H89,'K4'!H92,'K4'!H93,'K4'!H94,'K4'!H95),J35))</f>
        <v>#NUM!</v>
      </c>
      <c r="E30" s="16" t="e">
        <f>IF(AND('K4'!H96=0,'K4'!H76=0),0,MAX(SUM('K4'!H85,'K4'!H89,'K4'!H92,'K4'!H93,'K4'!H94,'K4'!H95)+30,J35))</f>
        <v>#NUM!</v>
      </c>
      <c r="F30" s="16" t="e">
        <f>IF('K4'!H61&lt;18,Grundfreibeträge!B30,Grundfreibeträge!C30)</f>
        <v>#NUM!</v>
      </c>
      <c r="G30" s="44" t="e">
        <f>IF('K4'!H61&lt;18,Grundfreibeträge!D30,Grundfreibeträge!E30)</f>
        <v>#NUM!</v>
      </c>
      <c r="H30" s="138" t="e">
        <f>IF('K4'!H96&lt;1000,0,IF('K4'!H96&gt;=1200,20,ROUND(('K4'!H96-1000)*10%,2)))</f>
        <v>#NUM!</v>
      </c>
      <c r="I30" s="807" t="s">
        <v>605</v>
      </c>
      <c r="J30" s="808" t="e">
        <f>VLOOKUP(O29,K28:L35,2,FALSE)</f>
        <v>#NUM!</v>
      </c>
      <c r="K30" s="23">
        <v>2021</v>
      </c>
      <c r="L30" s="23">
        <v>100</v>
      </c>
      <c r="N30" s="804" t="s">
        <v>612</v>
      </c>
      <c r="O30" s="204" t="e">
        <f>YEAR(EDATE($O$28,-5))</f>
        <v>#NUM!</v>
      </c>
    </row>
    <row r="31" spans="1:16" ht="15" x14ac:dyDescent="0.25">
      <c r="A31" s="36" t="s">
        <v>17</v>
      </c>
      <c r="B31" s="37" t="s">
        <v>248</v>
      </c>
      <c r="C31" s="37" t="s">
        <v>245</v>
      </c>
      <c r="D31" s="37" t="s">
        <v>246</v>
      </c>
      <c r="E31" s="37" t="s">
        <v>247</v>
      </c>
      <c r="F31" s="37" t="s">
        <v>249</v>
      </c>
      <c r="G31" s="38" t="s">
        <v>250</v>
      </c>
      <c r="I31" s="807" t="s">
        <v>606</v>
      </c>
      <c r="J31" s="808" t="e">
        <f t="shared" ref="J31:J35" si="0">VLOOKUP(O30,K29:L36,2,FALSE)</f>
        <v>#NUM!</v>
      </c>
      <c r="K31" s="23">
        <v>2022</v>
      </c>
      <c r="L31" s="23">
        <v>100</v>
      </c>
      <c r="N31" s="804" t="s">
        <v>613</v>
      </c>
      <c r="O31" s="204" t="e">
        <f>YEAR(EDATE($O$28,-4))</f>
        <v>#NUM!</v>
      </c>
    </row>
    <row r="32" spans="1:16" ht="15" x14ac:dyDescent="0.25">
      <c r="A32" s="39">
        <v>1</v>
      </c>
      <c r="B32" s="12" t="e">
        <f>IF(AND('K5'!C96=0,'K5'!C76=0),0,IF('K5'!C96&lt;=400,100,IF((SUM('K5'!C85,'K5'!C89,'K5'!C92,'K5'!C93,'K5'!C94,'K5'!C95))&lt;100,100,(SUM('K5'!C85,'K5'!C89,'K5'!C92,'K5'!C93,'K5'!C94,'K5'!C95)))))</f>
        <v>#NUM!</v>
      </c>
      <c r="C32" s="12" t="e">
        <f>IF(AND('K5'!C96=0,'K5'!C76=0),0,IF('K5'!C96&lt;=400,100,IF((SUM('K5'!C85,'K5'!C89,'K5'!C92,'K5'!C93,'K5'!C94,'K5'!C95)+30)&lt;100,100,(SUM('K5'!C85,'K5'!C89,'K5'!C92,'K5'!C93,'K5'!C94,'K5'!C95)+30))))</f>
        <v>#NUM!</v>
      </c>
      <c r="D32" s="12" t="e">
        <f>IF(AND('K5'!C96=0,'K5'!C76=0),0,MAX(SUM('K5'!C85,'K5'!C89,'K5'!C92,'K5'!C93,'K5'!C94,'K5'!C95),J30))</f>
        <v>#NUM!</v>
      </c>
      <c r="E32" s="12" t="e">
        <f>IF(AND('K5'!C96=0,'K5'!C76=0),0,MAX(SUM('K5'!C85,'K5'!C89,'K5'!C92,'K5'!C93,'K5'!C94,'K5'!C95)+30,J30))</f>
        <v>#NUM!</v>
      </c>
      <c r="F32" s="12" t="e">
        <f>IF('K5'!C61&lt;18,Grundfreibeträge!B32,Grundfreibeträge!C32)</f>
        <v>#NUM!</v>
      </c>
      <c r="G32" s="29" t="e">
        <f>IF('K5'!C61&lt;18,Grundfreibeträge!D32,Grundfreibeträge!E32)</f>
        <v>#NUM!</v>
      </c>
      <c r="H32" s="138" t="e">
        <f>IF('K5'!C96&lt;1000,0,IF('K5'!C96&gt;=1200,20,ROUND(('K5'!C96-1000)*10%,2)))</f>
        <v>#NUM!</v>
      </c>
      <c r="I32" s="807" t="s">
        <v>607</v>
      </c>
      <c r="J32" s="808" t="e">
        <f t="shared" si="0"/>
        <v>#NUM!</v>
      </c>
      <c r="K32" s="51">
        <v>2023</v>
      </c>
      <c r="L32" s="51">
        <v>520</v>
      </c>
      <c r="N32" s="804" t="s">
        <v>614</v>
      </c>
      <c r="O32" s="204" t="e">
        <f>YEAR(EDATE($O$28,-3))</f>
        <v>#NUM!</v>
      </c>
    </row>
    <row r="33" spans="1:15" ht="15" x14ac:dyDescent="0.25">
      <c r="A33" s="39">
        <v>2</v>
      </c>
      <c r="B33" s="12" t="e">
        <f>IF(AND('K5'!D96=0,'K5'!D76=0),0,IF('K5'!D96&lt;=400,100,IF((SUM('K5'!D85,'K5'!D89,'K5'!D92,'K5'!D93,'K5'!D94,'K5'!D95))&lt;100,100,(SUM('K5'!D85,'K5'!D89,'K5'!D92,'K5'!D93,'K5'!D94,'K5'!D95)))))</f>
        <v>#NUM!</v>
      </c>
      <c r="C33" s="12" t="e">
        <f>IF(AND('K5'!D96=0,'K5'!D76=0),0,IF('K5'!D96&lt;=400,100,IF((SUM('K5'!D85,'K5'!D89,'K5'!D92,'K5'!D93,'K5'!D94,'K5'!D95)+30)&lt;100,100,(SUM('K5'!D85,'K5'!D89,'K5'!D92,'K5'!D93,'K5'!D94,'K5'!D95)+30))))</f>
        <v>#NUM!</v>
      </c>
      <c r="D33" s="12" t="e">
        <f>IF(AND('K5'!D96=0,'K5'!D76=0),0,MAX(SUM('K5'!D85,'K5'!D89,'K5'!D92,'K5'!D93,'K5'!D94,'K5'!D95),J31))</f>
        <v>#NUM!</v>
      </c>
      <c r="E33" s="12" t="e">
        <f>IF(AND('K5'!E96=0,'K5'!E76=0),0,MAX(SUM('K5'!E85,'K5'!E89,'K5'!E92,'K5'!E93,'K5'!E94,'K5'!E95)+30,J31))</f>
        <v>#NUM!</v>
      </c>
      <c r="F33" s="12" t="e">
        <f>IF('K5'!D61&lt;18,Grundfreibeträge!B33,Grundfreibeträge!C33)</f>
        <v>#NUM!</v>
      </c>
      <c r="G33" s="29" t="e">
        <f>IF('K5'!D61&lt;18,Grundfreibeträge!D33,Grundfreibeträge!E33)</f>
        <v>#NUM!</v>
      </c>
      <c r="H33" s="138" t="e">
        <f>IF('K5'!D96&lt;1000,0,IF('K5'!D96&gt;=1200,20,ROUND(('K5'!D96-1000)*10%,2)))</f>
        <v>#NUM!</v>
      </c>
      <c r="I33" s="807" t="s">
        <v>608</v>
      </c>
      <c r="J33" s="808" t="e">
        <f t="shared" si="0"/>
        <v>#NUM!</v>
      </c>
      <c r="K33" s="51">
        <v>2024</v>
      </c>
      <c r="L33" s="51">
        <v>538</v>
      </c>
      <c r="N33" s="51" t="s">
        <v>615</v>
      </c>
      <c r="O33" s="204" t="e">
        <f>YEAR(EDATE($O$28,-2))</f>
        <v>#NUM!</v>
      </c>
    </row>
    <row r="34" spans="1:15" ht="15" x14ac:dyDescent="0.25">
      <c r="A34" s="39">
        <v>3</v>
      </c>
      <c r="B34" s="12" t="e">
        <f>IF(AND('K5'!E96=0,'K5'!E76=0),0,IF('K5'!E96&lt;=400,100,IF((SUM('K5'!E85,'K5'!E89,'K5'!E92,'K5'!E93,'K5'!E94,'K5'!E95))&lt;100,100,(SUM('K5'!E85,'K5'!E89,'K5'!E92,'K5'!E93,'K5'!E94,'K5'!E95)))))</f>
        <v>#NUM!</v>
      </c>
      <c r="C34" s="12" t="e">
        <f>IF(AND('K5'!E96=0,'K5'!E76=0),0,IF('K5'!E96&lt;=400,100,IF((SUM('K5'!E85,'K5'!E89,'K5'!E92,'K5'!E93,'K5'!E94,'K5'!E95)+30)&lt;100,100,(SUM('K5'!E85,'K5'!E89,'K5'!E92,'K5'!E93,'K5'!E94,'K5'!E95)+30))))</f>
        <v>#NUM!</v>
      </c>
      <c r="D34" s="12" t="e">
        <f>IF(AND('K5'!E96=0,'K5'!E76=0),0,MAX(SUM('K5'!E85,'K5'!E89,'K5'!E92,'K5'!E93,'K5'!E94,'K5'!E95),J32))</f>
        <v>#NUM!</v>
      </c>
      <c r="E34" s="12" t="e">
        <f>IF(AND('K5'!E96=0,'K5'!E76=0),0,MAX(SUM('K5'!E85,'K5'!E89,'K5'!E92,'K5'!E93,'K5'!E94,'K5'!E95)+30,J32))</f>
        <v>#NUM!</v>
      </c>
      <c r="F34" s="12" t="e">
        <f>IF('K5'!E61&lt;18,Grundfreibeträge!B34,Grundfreibeträge!C34)</f>
        <v>#NUM!</v>
      </c>
      <c r="G34" s="29" t="e">
        <f>IF('K5'!E61&lt;18,Grundfreibeträge!D34,Grundfreibeträge!E34)</f>
        <v>#NUM!</v>
      </c>
      <c r="H34" s="138" t="e">
        <f>IF('K5'!E96&lt;1000,0,IF('K5'!E96&gt;=1200,20,ROUND(('K5'!E96-1000)*10%,2)))</f>
        <v>#NUM!</v>
      </c>
      <c r="I34" s="807" t="s">
        <v>609</v>
      </c>
      <c r="J34" s="808" t="e">
        <f t="shared" si="0"/>
        <v>#NUM!</v>
      </c>
      <c r="K34" s="51">
        <v>2025</v>
      </c>
      <c r="L34" s="51">
        <v>556</v>
      </c>
      <c r="N34" s="51" t="s">
        <v>616</v>
      </c>
      <c r="O34" s="204" t="e">
        <f>YEAR(EDATE($O$28,-1))</f>
        <v>#NUM!</v>
      </c>
    </row>
    <row r="35" spans="1:15" ht="15" x14ac:dyDescent="0.25">
      <c r="A35" s="39">
        <v>4</v>
      </c>
      <c r="B35" s="12" t="e">
        <f>IF(AND('K5'!F96=0,'K5'!F76=0),0,IF('K5'!F96&lt;=400,100,IF((SUM('K5'!F85,'K5'!F89,'K5'!F92,'K5'!F93,'K5'!F94,'K5'!F95))&lt;100,100,(SUM('K5'!F85,'K5'!F89,'K5'!F92,'K5'!F93,'K5'!F94,'K5'!F95)))))</f>
        <v>#NUM!</v>
      </c>
      <c r="C35" s="12" t="e">
        <f>IF(AND('K5'!F96=0,'K5'!F76=0),0,IF('K5'!F96&lt;=400,100,IF((SUM('K5'!F85,'K5'!F89,'K5'!F92,'K5'!F93,'K5'!F94,'K5'!F95)+30)&lt;100,100,(SUM('K5'!F85,'K5'!F89,'K5'!F92,'K5'!F93,'K5'!F94,'K5'!F95)+30))))</f>
        <v>#NUM!</v>
      </c>
      <c r="D35" s="12" t="e">
        <f>IF(AND('K5'!F96=0,'K5'!F76=0),0,MAX(SUM('K5'!F85,'K5'!F89,'K5'!F92,'K5'!F93,'K5'!F94,'K5'!F95),J33))</f>
        <v>#NUM!</v>
      </c>
      <c r="E35" s="12" t="e">
        <f>IF(AND('K5'!F96=0,'K5'!F76=0),0,MAX(SUM('K5'!F85,'K5'!F89,'K5'!F92,'K5'!F93,'K5'!F94,'K5'!F95)+30,J33))</f>
        <v>#NUM!</v>
      </c>
      <c r="F35" s="12" t="e">
        <f>IF('K5'!F61&lt;18,Grundfreibeträge!B35,Grundfreibeträge!C35)</f>
        <v>#NUM!</v>
      </c>
      <c r="G35" s="29" t="e">
        <f>IF('K5'!F61&lt;18,Grundfreibeträge!D35,Grundfreibeträge!E35)</f>
        <v>#NUM!</v>
      </c>
      <c r="H35" s="138" t="e">
        <f>IF('K5'!F96&lt;1000,0,IF('K5'!F96&gt;=1200,20,ROUND(('K5'!F96-1000)*10%,2)))</f>
        <v>#NUM!</v>
      </c>
      <c r="I35" s="807" t="s">
        <v>610</v>
      </c>
      <c r="J35" s="808" t="e">
        <f t="shared" si="0"/>
        <v>#NUM!</v>
      </c>
      <c r="K35" s="51">
        <v>2026</v>
      </c>
      <c r="L35" s="51">
        <v>1</v>
      </c>
    </row>
    <row r="36" spans="1:15" x14ac:dyDescent="0.2">
      <c r="A36" s="39">
        <v>5</v>
      </c>
      <c r="B36" s="12" t="e">
        <f>IF(AND('K5'!G96=0,'K5'!G76=0),0,IF('K5'!G96&lt;=400,100,IF((SUM('K5'!G85,'K5'!G89,'K5'!G92,'K5'!G93,'K5'!G94,'K5'!G95))&lt;100,100,(SUM('K5'!G85,'K5'!G89,'K5'!G92,'K5'!G93,'K5'!G94,'K5'!G95)))))</f>
        <v>#NUM!</v>
      </c>
      <c r="C36" s="12" t="e">
        <f>IF(AND('K5'!G96=0,'K5'!G76=0),0,IF('K5'!G96&lt;=400,100,IF((SUM('K5'!G85,'K5'!G89,'K5'!G92,'K5'!G93,'K5'!G94,'K5'!G95)+30)&lt;100,100,(SUM('K5'!G85,'K5'!G89,'K5'!G92,'K5'!G93,'K5'!G94,'K5'!G95)+30))))</f>
        <v>#NUM!</v>
      </c>
      <c r="D36" s="12" t="e">
        <f>IF(AND('K5'!G96=0,'K5'!G76=0),0,MAX(SUM('K5'!G85,'K5'!G89,'K5'!G92,'K5'!G93,'K5'!G94,'K5'!G95),J34))</f>
        <v>#NUM!</v>
      </c>
      <c r="E36" s="12" t="e">
        <f>IF(AND('K5'!G96=0,'K5'!G76=0),0,MAX(SUM('K5'!G85,'K5'!G89,'K5'!G92,'K5'!G93,'K5'!G94,'K5'!G95)+30,J34))</f>
        <v>#NUM!</v>
      </c>
      <c r="F36" s="12" t="e">
        <f>IF('K5'!G61&lt;18,Grundfreibeträge!B36,Grundfreibeträge!C36)</f>
        <v>#NUM!</v>
      </c>
      <c r="G36" s="29" t="e">
        <f>IF('K5'!G61&lt;18,Grundfreibeträge!D36,Grundfreibeträge!E36)</f>
        <v>#NUM!</v>
      </c>
      <c r="H36" s="12" t="e">
        <f>IF('K5'!G96&lt;1000,0,IF('K5'!G96&gt;=1200,20,ROUND(('K5'!G96-1000)*10%,2)))</f>
        <v>#NUM!</v>
      </c>
    </row>
    <row r="37" spans="1:15" ht="15" thickBot="1" x14ac:dyDescent="0.25">
      <c r="A37" s="43">
        <v>6</v>
      </c>
      <c r="B37" s="16" t="e">
        <f>IF(AND('K5'!H96=0,'K5'!H76=0),0,IF('K5'!H96&lt;=400,100,IF((SUM('K5'!H85,'K5'!H89,'K5'!H92,'K5'!H93,'K5'!H94,'K5'!H95))&lt;100,100,(SUM('K5'!H85,'K5'!H89,'K5'!H92,'K5'!H93,'K5'!H94,'K5'!H95)))))</f>
        <v>#NUM!</v>
      </c>
      <c r="C37" s="16" t="e">
        <f>IF(AND('K5'!H96=0,'K5'!H76=0),0,IF('K5'!H96&lt;=400,100,IF((SUM('K5'!H85,'K5'!H89,'K5'!H92,'K5'!H93,'K5'!H94,'K5'!H95)+30)&lt;100,100,(SUM('K5'!H85,'K5'!H89,'K5'!H92,'K5'!H93,'K5'!H94,'K5'!H95)+30))))</f>
        <v>#NUM!</v>
      </c>
      <c r="D37" s="16" t="e">
        <f>IF(AND('K5'!H96=0,'K5'!H76=0),0,MAX(SUM('K5'!H85,'K5'!H89,'K5'!H92,'K5'!H93,'K5'!H94,'K5'!H95),J35))</f>
        <v>#NUM!</v>
      </c>
      <c r="E37" s="16" t="e">
        <f>IF(AND('K5'!H96=0,'K5'!H76=0),0,MAX(SUM('K5'!H85,'K5'!H89,'K5'!H92,'K5'!H93,'K5'!H94,'K5'!H95)+30,J35))</f>
        <v>#NUM!</v>
      </c>
      <c r="F37" s="16" t="e">
        <f>IF('K5'!H61&lt;18,Grundfreibeträge!B37,Grundfreibeträge!C37)</f>
        <v>#NUM!</v>
      </c>
      <c r="G37" s="44" t="e">
        <f>IF('K5'!H61&lt;18,Grundfreibeträge!D37,Grundfreibeträge!E37)</f>
        <v>#NUM!</v>
      </c>
      <c r="H37" s="12" t="e">
        <f>IF('K5'!H96&lt;1000,0,IF('K5'!H96&gt;=1200,20,ROUND(('K5'!H96-1000)*10%,2)))</f>
        <v>#NUM!</v>
      </c>
    </row>
    <row r="38" spans="1:15" x14ac:dyDescent="0.2">
      <c r="A38" s="36" t="s">
        <v>18</v>
      </c>
      <c r="B38" s="37" t="s">
        <v>248</v>
      </c>
      <c r="C38" s="37" t="s">
        <v>245</v>
      </c>
      <c r="D38" s="37" t="s">
        <v>246</v>
      </c>
      <c r="E38" s="37" t="s">
        <v>247</v>
      </c>
      <c r="F38" s="37" t="s">
        <v>249</v>
      </c>
      <c r="G38" s="38" t="s">
        <v>250</v>
      </c>
    </row>
    <row r="39" spans="1:15" x14ac:dyDescent="0.2">
      <c r="A39" s="39">
        <v>1</v>
      </c>
      <c r="B39" s="12" t="e">
        <f>IF(AND('K6'!C96=0,'K6'!C76=0),0,IF('K6'!C96&lt;=400,100,IF((SUM('K6'!C85,'K6'!C89,'K6'!C92,'K6'!C93,'K6'!C94,'K6'!C95))&lt;100,100,(SUM('K6'!C85,'K6'!C89,'K6'!C92,'K6'!C93,'K6'!C94,'K6'!C95)))))</f>
        <v>#NUM!</v>
      </c>
      <c r="C39" s="12" t="e">
        <f>IF(AND('K6'!C96=0,'K6'!C76=0),0,IF('K6'!C96&lt;=400,100,IF((SUM('K6'!C85,'K6'!C89,'K6'!C92,'K6'!C93,'K6'!C94,'K6'!C95)+30)&lt;100,100,(SUM('K6'!C85,'K6'!C89,'K6'!C92,'K6'!C93,'K6'!C94,'K6'!C95)+30))))</f>
        <v>#NUM!</v>
      </c>
      <c r="D39" s="12" t="e">
        <f>IF(AND('K6'!C96=0,'K6'!C76=0),0,MAX(SUM('K6'!C85,'K6'!C89,'K6'!C92,'K6'!C93,'K6'!C94,'K6'!C95),J30))</f>
        <v>#NUM!</v>
      </c>
      <c r="E39" s="12" t="e">
        <f>IF(AND('K6'!C96=0,'K6'!C76=0),0,MAX(SUM('K6'!C85,'K6'!C89,'K6'!C92,'K6'!C93,'K6'!C94,'K6'!C95)+30,J30))</f>
        <v>#NUM!</v>
      </c>
      <c r="F39" s="12" t="e">
        <f>IF('K6'!C61&lt;18,Grundfreibeträge!B39,Grundfreibeträge!C39)</f>
        <v>#NUM!</v>
      </c>
      <c r="G39" s="29" t="e">
        <f>IF('K6'!C61&lt;18,Grundfreibeträge!D39,Grundfreibeträge!E39)</f>
        <v>#NUM!</v>
      </c>
      <c r="H39" s="12" t="e">
        <f>IF('K6'!C96&lt;1000,0,IF('K6'!C96&gt;=1200,20,ROUND(('K6'!C96-1000)*10%,2)))</f>
        <v>#NUM!</v>
      </c>
    </row>
    <row r="40" spans="1:15" x14ac:dyDescent="0.2">
      <c r="A40" s="39">
        <v>2</v>
      </c>
      <c r="B40" s="12" t="e">
        <f>IF(AND('K6'!D96=0,'K6'!D76=0),0,IF('K6'!D96&lt;=400,100,IF((SUM('K6'!D85,'K6'!D89,'K6'!D92,'K6'!D93,'K6'!D94,'K6'!D95))&lt;100,100,(SUM('K6'!D85,'K6'!D89,'K6'!D92,'K6'!D93,'K6'!D94,'K6'!D95)))))</f>
        <v>#NUM!</v>
      </c>
      <c r="C40" s="12" t="e">
        <f>IF(AND('K6'!D96=0,'K6'!D76=0),0,IF('K6'!D96&lt;=400,100,IF((SUM('K6'!D85,'K6'!D89,'K6'!D92,'K6'!D93,'K6'!D94,'K6'!D95)+30)&lt;100,100,(SUM('K6'!D85,'K6'!D89,'K6'!D92,'K6'!D93,'K6'!D94,'K6'!D95)+30))))</f>
        <v>#NUM!</v>
      </c>
      <c r="D40" s="12" t="e">
        <f>IF(AND('K6'!D96=0,'K6'!D76=0),0,MAX(SUM('K6'!D85,'K6'!D89,'K6'!D92,'K6'!D93,'K6'!D94,'K6'!D95),J31))</f>
        <v>#NUM!</v>
      </c>
      <c r="E40" s="12" t="e">
        <f>IF(AND('K6'!D96=0,'K6'!D76=0),0,MAX(SUM('K6'!D85,'K6'!D89,'K6'!D92,'K6'!D93,'K6'!D94,'K6'!D95)+30,J31))</f>
        <v>#NUM!</v>
      </c>
      <c r="F40" s="12" t="e">
        <f>IF('K6'!D61&lt;18,Grundfreibeträge!B40,Grundfreibeträge!C40)</f>
        <v>#NUM!</v>
      </c>
      <c r="G40" s="29" t="e">
        <f>IF('K6'!D61&lt;18,Grundfreibeträge!D40,Grundfreibeträge!E40)</f>
        <v>#NUM!</v>
      </c>
      <c r="H40" s="12" t="e">
        <f>IF('K6'!D96&lt;1000,0,IF('K6'!D96&gt;=1200,20,ROUND(('K6'!D96-1000)*10%,2)))</f>
        <v>#NUM!</v>
      </c>
    </row>
    <row r="41" spans="1:15" x14ac:dyDescent="0.2">
      <c r="A41" s="39">
        <v>3</v>
      </c>
      <c r="B41" s="12" t="e">
        <f>IF(AND('K6'!E96=0,'K6'!E76=0),0,IF('K6'!E96&lt;=400,100,IF((SUM('K6'!E85,'K6'!E89,'K6'!E92,'K6'!E93,'K6'!E94,'K6'!E95))&lt;100,100,(SUM('K6'!E85,'K6'!E89,'K6'!E92,'K6'!E93,'K6'!E94,'K6'!E95)))))</f>
        <v>#NUM!</v>
      </c>
      <c r="C41" s="12" t="e">
        <f>IF(AND('K6'!E96=0,'K6'!E76=0),0,IF('K6'!E96&lt;=400,100,IF((SUM('K6'!E85,'K6'!E89,'K6'!E92,'K6'!E93,'K6'!E94,'K6'!E95)+30)&lt;100,100,(SUM('K6'!E85,'K6'!E89,'K6'!E92,'K6'!E93,'K6'!E94,'K6'!E95)+30))))</f>
        <v>#NUM!</v>
      </c>
      <c r="D41" s="12" t="e">
        <f>IF(AND('K6'!E96=0,'K6'!E76=0),0,MAX(SUM('K6'!E85,'K6'!E89,'K6'!E92,'K6'!E93,'K6'!E94,'K6'!E95),J32))</f>
        <v>#NUM!</v>
      </c>
      <c r="E41" s="12" t="e">
        <f>IF(AND('K6'!E96=0,'K6'!E76=0),0,MAX(SUM('K6'!E85,'K6'!E89,'K6'!E92,'K6'!E93,'K6'!E94,'K6'!E95)+30,J32))</f>
        <v>#NUM!</v>
      </c>
      <c r="F41" s="12" t="e">
        <f>IF('K6'!E61&lt;18,Grundfreibeträge!B41,Grundfreibeträge!C41)</f>
        <v>#NUM!</v>
      </c>
      <c r="G41" s="29" t="e">
        <f>IF('K6'!E61&lt;18,Grundfreibeträge!D41,Grundfreibeträge!E41)</f>
        <v>#NUM!</v>
      </c>
      <c r="H41" s="12" t="e">
        <f>IF('K6'!E96&lt;1000,0,IF('K6'!E96&gt;=1200,20,ROUND(('K6'!E96-1000)*10%,2)))</f>
        <v>#NUM!</v>
      </c>
    </row>
    <row r="42" spans="1:15" x14ac:dyDescent="0.2">
      <c r="A42" s="39">
        <v>4</v>
      </c>
      <c r="B42" s="12" t="e">
        <f>IF(AND('K6'!F96=0,'K6'!F76=0),0,IF('K6'!F96&lt;=400,100,IF((SUM('K6'!F85,'K6'!F89,'K6'!F92,'K6'!F93,'K6'!F94,'K6'!F95))&lt;100,100,(SUM('K6'!F85,'K6'!F89,'K6'!F92,'K6'!F93,'K6'!F94,'K6'!F95)))))</f>
        <v>#NUM!</v>
      </c>
      <c r="C42" s="12" t="e">
        <f>IF(AND('K6'!F96=0,'K6'!F76=0),0,IF('K6'!F96&lt;=400,100,IF((SUM('K6'!F85,'K6'!F89,'K6'!F92,'K6'!F93,'K6'!F94,'K6'!F95)+30)&lt;100,100,(SUM('K6'!F85,'K6'!F89,'K6'!F92,'K6'!F93,'K6'!F94,'K6'!F95)+30))))</f>
        <v>#NUM!</v>
      </c>
      <c r="D42" s="12" t="e">
        <f>IF(AND('K6'!F96=0,'K6'!F76=0),0,MAX(SUM('K6'!F85,'K6'!F89,'K6'!F92,'K6'!F93,'K6'!F94,'K6'!F95),J33))</f>
        <v>#NUM!</v>
      </c>
      <c r="E42" s="12" t="e">
        <f>IF(AND('K6'!F96=0,'K6'!F76=0),0,MAX(SUM('K6'!F85,'K6'!F89,'K6'!F92,'K6'!F93,'K6'!F94,'K6'!F95)+30,J33))</f>
        <v>#NUM!</v>
      </c>
      <c r="F42" s="12" t="e">
        <f>IF('K6'!F61&lt;18,Grundfreibeträge!B42,Grundfreibeträge!C42)</f>
        <v>#NUM!</v>
      </c>
      <c r="G42" s="29" t="e">
        <f>IF('K6'!F61&lt;18,Grundfreibeträge!D42,Grundfreibeträge!E42)</f>
        <v>#NUM!</v>
      </c>
      <c r="H42" s="12" t="e">
        <f>IF('K6'!F96&lt;1000,0,IF('K6'!F96&gt;=1200,20,ROUND(('K6'!F96-1000)*10%,2)))</f>
        <v>#NUM!</v>
      </c>
    </row>
    <row r="43" spans="1:15" x14ac:dyDescent="0.2">
      <c r="A43" s="39">
        <v>5</v>
      </c>
      <c r="B43" s="12" t="e">
        <f>IF(AND('K6'!G96=0,'K6'!G76=0),0,IF('K6'!G96&lt;=400,100,IF((SUM('K6'!G85,'K6'!G89,'K6'!G92,'K6'!G93,'K6'!G94,'K6'!G95))&lt;100,100,(SUM('K6'!G85,'K6'!G89,'K6'!G92,'K6'!G93,'K6'!G94,'K6'!G95)))))</f>
        <v>#NUM!</v>
      </c>
      <c r="C43" s="12" t="e">
        <f>IF(AND('K6'!G96=0,'K6'!G76=0),0,IF('K6'!G96&lt;=400,100,IF((SUM('K6'!G85,'K6'!G89,'K6'!G92,'K6'!G93,'K6'!G94,'K6'!G95)+30)&lt;100,100,(SUM('K6'!G85,'K6'!G89,'K6'!G92,'K6'!G93,'K6'!G94,'K6'!G95)+30))))</f>
        <v>#NUM!</v>
      </c>
      <c r="D43" s="12" t="e">
        <f>IF(AND('K6'!G96=0,'K6'!G76=0),0,MAX(SUM('K6'!G85,'K6'!G89,'K6'!G92,'K6'!G93,'K6'!G94,'K6'!G95),J34))</f>
        <v>#NUM!</v>
      </c>
      <c r="E43" s="12" t="e">
        <f>IF(AND('K6'!G96=0,'K6'!G76=0),0,MAX(SUM('K6'!G85,'K6'!G89,'K6'!G92,'K6'!G93,'K6'!G94,'K6'!G95)+30,J34))</f>
        <v>#NUM!</v>
      </c>
      <c r="F43" s="12" t="e">
        <f>IF('K6'!G61&lt;18,Grundfreibeträge!B43,Grundfreibeträge!C43)</f>
        <v>#NUM!</v>
      </c>
      <c r="G43" s="29" t="e">
        <f>IF('K6'!G61&lt;18,Grundfreibeträge!D43,Grundfreibeträge!E43)</f>
        <v>#NUM!</v>
      </c>
      <c r="H43" s="12" t="e">
        <f>IF('K6'!G96&lt;1000,0,IF('K6'!G96&gt;=1200,20,ROUND(('K6'!G96-1000)*10%,2)))</f>
        <v>#NUM!</v>
      </c>
    </row>
    <row r="44" spans="1:15" x14ac:dyDescent="0.2">
      <c r="A44" s="23">
        <v>6</v>
      </c>
      <c r="B44" s="12" t="e">
        <f>IF(AND('K6'!H96=0,'K6'!H76=0),0,IF('K6'!H96&lt;=400,100,IF((SUM('K6'!H85,'K6'!H89,'K6'!H92,'K6'!H93,'K6'!H94,'K6'!H95))&lt;100,100,(SUM('K6'!H85,'K6'!H89,'K6'!H92,'K6'!H93,'K6'!H94,'K6'!H95)))))</f>
        <v>#NUM!</v>
      </c>
      <c r="C44" s="12" t="e">
        <f>IF(AND('K6'!H96=0,'K6'!H76=0),0,IF('K6'!H96&lt;=400,100,IF((SUM('K6'!H85,'K6'!H89,'K6'!H92,'K6'!H93,'K6'!H94,'K6'!H95)+30)&lt;100,100,(SUM('K6'!H85,'K6'!H89,'K6'!H92,'K6'!H93,'K6'!H94,'K6'!H95)+30))))</f>
        <v>#NUM!</v>
      </c>
      <c r="D44" s="12" t="e">
        <f>IF(AND('K6'!H96=0,'K6'!H76=0),0,MAX(SUM('K6'!H85,'K6'!H89,'K6'!H92,'K6'!H93,'K6'!H94,'K6'!H95),J35))</f>
        <v>#NUM!</v>
      </c>
      <c r="E44" s="779" t="e">
        <f>IF(AND('K6'!H96=0,'K6'!H76=0),0,MAX(SUM('K6'!H85,'K6'!H89,'K6'!H92,'K6'!H93,'K6'!H94,'K6'!H95)+30,J35))</f>
        <v>#NUM!</v>
      </c>
      <c r="F44" s="12" t="e">
        <f>IF('K6'!H61&lt;18,Grundfreibeträge!B44,Grundfreibeträge!C44)</f>
        <v>#NUM!</v>
      </c>
      <c r="G44" s="12" t="e">
        <f>IF('K6'!H606&lt;18,Grundfreibeträge!D44,Grundfreibeträge!E44)</f>
        <v>#NUM!</v>
      </c>
      <c r="H44" s="161" t="e">
        <f>IF('K6'!H96&lt;1000,0,IF('K6'!H96&gt;=1200,20,ROUND(('K6'!H96-1000)*10%,2)))</f>
        <v>#NUM!</v>
      </c>
    </row>
    <row r="45" spans="1:15" x14ac:dyDescent="0.2">
      <c r="A45" s="23" t="s">
        <v>340</v>
      </c>
      <c r="B45" s="23" t="s">
        <v>248</v>
      </c>
      <c r="C45" s="23" t="s">
        <v>245</v>
      </c>
      <c r="D45" s="23" t="s">
        <v>246</v>
      </c>
      <c r="E45" s="23" t="s">
        <v>247</v>
      </c>
      <c r="F45" s="23" t="s">
        <v>249</v>
      </c>
      <c r="G45" s="23" t="s">
        <v>250</v>
      </c>
    </row>
    <row r="46" spans="1:15" x14ac:dyDescent="0.2">
      <c r="A46" s="23">
        <v>1</v>
      </c>
      <c r="B46" s="12" t="e">
        <f>IF(AND('K7'!C96=0,'K7'!C76=0),0,IF('K7'!C96&lt;=400,100,IF((SUM('K7'!C85,'K7'!C89,'K7'!C92,'K7'!C93,'K7'!C94,'K7'!C95))&lt;100,100,(SUM('K7'!C85,'K7'!C89,'K7'!C92,'K7'!C93,'K7'!C94,'K7'!C95)))))</f>
        <v>#NUM!</v>
      </c>
      <c r="C46" s="12" t="e">
        <f>IF(AND('K7'!C96=0,'K7'!C76=0),0,IF('K7'!C96&lt;=400,100,IF((SUM('K7'!C85,'K7'!C89,'K7'!C92,'K7'!C93,'K7'!C94,'K7'!C95)+30)&lt;100,100,(SUM('K7'!C85,'K7'!C89,'K7'!C92,'K7'!C93,'K7'!C94,'K7'!C95)+30))))</f>
        <v>#NUM!</v>
      </c>
      <c r="D46" s="12" t="e">
        <f>IF(AND('K7'!C96=0,'K7'!C76=0),0,MAX(SUM('K7'!C85,'K7'!C89,'K7'!C92,'K7'!C93,'K7'!C94,'K7'!C95),J30))</f>
        <v>#NUM!</v>
      </c>
      <c r="E46" s="12" t="e">
        <f>IF(AND('K7'!C96=0,'K7'!C76=0),0,MAX(SUM('K7'!C85,'K7'!C89,'K7'!C92,'K7'!C93,'K7'!C94,'K7'!C95)+30,J30))</f>
        <v>#NUM!</v>
      </c>
      <c r="F46" s="12" t="e">
        <f>IF('K7'!C61&lt;18,Grundfreibeträge!B46,Grundfreibeträge!C46)</f>
        <v>#NUM!</v>
      </c>
      <c r="G46" s="12" t="e">
        <f>IF('K7'!C61&lt;18,Grundfreibeträge!D46,Grundfreibeträge!E46)</f>
        <v>#NUM!</v>
      </c>
      <c r="H46" s="12" t="e">
        <f>IF('K7'!C96&lt;1000,0,IF('K7'!C96&gt;=1200,20,ROUND(('K7'!C96-1000)*10%,2)))</f>
        <v>#NUM!</v>
      </c>
    </row>
    <row r="47" spans="1:15" x14ac:dyDescent="0.2">
      <c r="A47" s="23">
        <v>2</v>
      </c>
      <c r="B47" s="12" t="e">
        <f>IF(AND('K7'!D96=0,'K7'!D76=0),0,IF('K7'!D96&lt;=400,100,IF((SUM('K7'!D85,'K7'!D89,'K7'!D92,'K7'!D93,'K7'!D94,'K7'!D95))&lt;100,100,(SUM('K7'!D85,'K7'!D89,'K7'!D92,'K7'!D93,'K7'!D94,'K7'!D95)))))</f>
        <v>#NUM!</v>
      </c>
      <c r="C47" s="12" t="e">
        <f>IF(AND('K7'!D96=0,'K7'!D76=0),0,IF('K7'!D96&lt;=400,100,IF((SUM('K7'!D85,'K7'!D89,'K7'!D92,'K7'!D93,'K7'!D94,'K7'!D95)+30)&lt;100,100,(SUM('K7'!D85,'K7'!D89,'K7'!D92,'K7'!D93,'K7'!D94,'K7'!D95)+30))))</f>
        <v>#NUM!</v>
      </c>
      <c r="D47" s="12" t="e">
        <f>IF(AND('K7'!D96=0,'K7'!D76=0),0,MAX(SUM('K7'!D85,'K7'!D89,'K7'!D92,'K7'!D93,'K7'!D94,'K7'!D95),J31))</f>
        <v>#NUM!</v>
      </c>
      <c r="E47" s="12" t="e">
        <f>IF(AND('K7'!D96=0,'K7'!D76=0),0,MAX(SUM('K7'!D85,'K7'!D89,'K7'!D92,'K7'!D93,'K7'!D94,'K7'!D95)+30,J31))</f>
        <v>#NUM!</v>
      </c>
      <c r="F47" s="12" t="e">
        <f>IF('K7'!D61&lt;18,Grundfreibeträge!B47,Grundfreibeträge!C47)</f>
        <v>#NUM!</v>
      </c>
      <c r="G47" s="12" t="e">
        <f>IF('K7'!D61&lt;18,Grundfreibeträge!D47,Grundfreibeträge!E47)</f>
        <v>#NUM!</v>
      </c>
      <c r="H47" s="12" t="e">
        <f>IF('K7'!D96&lt;1000,0,IF('K7'!D96&gt;=1200,20,ROUND(('K7'!D96-1000)*10%,2)))</f>
        <v>#NUM!</v>
      </c>
    </row>
    <row r="48" spans="1:15" x14ac:dyDescent="0.2">
      <c r="A48" s="23">
        <v>3</v>
      </c>
      <c r="B48" s="12" t="e">
        <f>IF(AND('K7'!E96=0,'K7'!E76=0),0,IF('K7'!E96&lt;=400,100,IF((SUM('K7'!E85,'K7'!E89,'K7'!E92,'K7'!E93,'K7'!E94,'K7'!E95))&lt;100,100,(SUM('K7'!E85,'K7'!E89,'K7'!E92,'K7'!E93,'K7'!E94,'K7'!E95)))))</f>
        <v>#NUM!</v>
      </c>
      <c r="C48" s="12" t="e">
        <f>IF(AND('K7'!E96=0,'K7'!E76=0),0,IF('K7'!E96&lt;=400,100,IF((SUM('K7'!E85,'K7'!E89,'K7'!E92,'K7'!E93,'K7'!E94,'K7'!E95)+30)&lt;100,100,(SUM('K7'!E85,'K7'!E89,'K7'!E92,'K7'!E93,'K7'!E94,'K7'!E95)+30))))</f>
        <v>#NUM!</v>
      </c>
      <c r="D48" s="12" t="e">
        <f>IF(AND('K7'!E96=0,'K7'!E76=0),0,MAX(SUM('K7'!E85,'K7'!E89,'K7'!E92,'K7'!E93,'K7'!E94,'K7'!E95),J32))</f>
        <v>#NUM!</v>
      </c>
      <c r="E48" s="12" t="e">
        <f>IF(AND('K7'!E96=0,'K7'!E76=0),0,MAX(SUM('K7'!E85,'K7'!E89,'K7'!E92,'K7'!E93,'K7'!E94,'K7'!E95)+30,J32))</f>
        <v>#NUM!</v>
      </c>
      <c r="F48" s="12" t="e">
        <f>IF('K7'!E61&lt;18,Grundfreibeträge!B48,Grundfreibeträge!C48)</f>
        <v>#NUM!</v>
      </c>
      <c r="G48" s="12" t="e">
        <f>IF('K7'!E61&lt;18,Grundfreibeträge!D48,Grundfreibeträge!E48)</f>
        <v>#NUM!</v>
      </c>
      <c r="H48" s="12" t="e">
        <f>IF('K7'!E96&lt;1000,0,IF('K7'!E96&gt;=1200,20,ROUND(('K7'!E96-1000)*10%,2)))</f>
        <v>#NUM!</v>
      </c>
    </row>
    <row r="49" spans="1:8" x14ac:dyDescent="0.2">
      <c r="A49" s="23">
        <v>4</v>
      </c>
      <c r="B49" s="12" t="e">
        <f>IF(AND('K7'!F96=0,'K7'!F76=0),0,IF('K7'!F96&lt;=400,100,IF((SUM('K7'!F85,'K7'!F89,'K7'!F92,'K7'!F93,'K7'!F94,'K7'!F95))&lt;100,100,(SUM('K7'!F85,'K7'!F89,'K7'!F92,'K7'!F93,'K7'!F94,'K7'!F95)))))</f>
        <v>#NUM!</v>
      </c>
      <c r="C49" s="12" t="e">
        <f>IF(AND('K7'!F96=0,'K7'!F76=0),0,IF('K7'!F96&lt;=400,100,IF((SUM('K7'!F85,'K7'!F89,'K7'!F92,'K7'!F93,'K7'!F94,'K7'!F95)+30)&lt;100,100,(SUM('K7'!F85,'K7'!F89,'K7'!F92,'K7'!F93,'K7'!F94,'K7'!F95)+30))))</f>
        <v>#NUM!</v>
      </c>
      <c r="D49" s="12" t="e">
        <f>IF(AND('K7'!F96=0,'K7'!F76=0),0,MAX(SUM('K7'!F85,'K7'!F89,'K7'!F92,'K7'!F93,'K7'!F94,'K7'!F95),J33))</f>
        <v>#NUM!</v>
      </c>
      <c r="E49" s="12" t="e">
        <f>IF(AND('K7'!F96=0,'K7'!F76=0),0,MAX(SUM('K7'!F85,'K7'!F89,'K7'!F92,'K7'!F93,'K7'!F94,'K7'!F95)+30,J33))</f>
        <v>#NUM!</v>
      </c>
      <c r="F49" s="12" t="e">
        <f>IF('K7'!F61&lt;18,Grundfreibeträge!B49,Grundfreibeträge!C49)</f>
        <v>#NUM!</v>
      </c>
      <c r="G49" s="12" t="e">
        <f>IF('K7'!F61&lt;18,Grundfreibeträge!D49,Grundfreibeträge!E49)</f>
        <v>#NUM!</v>
      </c>
      <c r="H49" s="12" t="e">
        <f>IF('K7'!F96&lt;1000,0,IF('K7'!F96&gt;=1200,20,ROUND(('K7'!F96-1000)*10%,2)))</f>
        <v>#NUM!</v>
      </c>
    </row>
    <row r="50" spans="1:8" x14ac:dyDescent="0.2">
      <c r="A50" s="23">
        <v>5</v>
      </c>
      <c r="B50" s="12" t="e">
        <f>IF(AND('K7'!G96=0,'K7'!G76=0),0,IF('K7'!G96&lt;=400,100,IF((SUM('K7'!G85,'K7'!G89,'K7'!G92,'K7'!G93,'K7'!G94,'K7'!G95))&lt;100,100,(SUM('K7'!G85,'K7'!G89,'K7'!G92,'K7'!G93,'K7'!G94,'K7'!G95)))))</f>
        <v>#NUM!</v>
      </c>
      <c r="C50" s="12" t="e">
        <f>IF(AND('K7'!G96=0,'K7'!G76=0),0,IF('K7'!G96&lt;=400,100,IF((SUM('K7'!G85,'K7'!G89,'K7'!G92,'K7'!G93,'K7'!G94,'K7'!G95)+30)&lt;100,100,(SUM('K7'!G85,'K7'!G89,'K7'!G92,'K7'!G93,'K7'!G94,'K7'!G95)+30))))</f>
        <v>#NUM!</v>
      </c>
      <c r="D50" s="12" t="e">
        <f>IF(AND('K7'!G96=0,'K7'!G76=0),0,MAX(SUM('K7'!G85,'K7'!G89,'K7'!G92,'K7'!G93,'K7'!G94,'K7'!G95),J34))</f>
        <v>#NUM!</v>
      </c>
      <c r="E50" s="12" t="e">
        <f>IF(AND('K7'!G96=0,'K7'!G76=0),0,MAX(SUM('K7'!G85,'K7'!G89,'K7'!G92,'K7'!G93,'K7'!G94,'K7'!G95)+30,J34))</f>
        <v>#NUM!</v>
      </c>
      <c r="F50" s="12" t="e">
        <f>IF('K7'!G61&lt;18,Grundfreibeträge!B50,Grundfreibeträge!C50)</f>
        <v>#NUM!</v>
      </c>
      <c r="G50" s="12" t="e">
        <f>IF('K7'!G61&lt;18,Grundfreibeträge!D50,Grundfreibeträge!E50)</f>
        <v>#NUM!</v>
      </c>
      <c r="H50" s="12" t="e">
        <f>IF('K7'!G96&lt;1000,0,IF('K7'!G96&gt;=1200,20,ROUND(('K7'!G96-1000)*10%,2)))</f>
        <v>#NUM!</v>
      </c>
    </row>
    <row r="51" spans="1:8" x14ac:dyDescent="0.2">
      <c r="A51" s="23">
        <v>6</v>
      </c>
      <c r="B51" s="12" t="e">
        <f>IF(AND('K7'!H96=0,'K7'!H76=0),0,IF('K7'!H96&lt;=400,100,IF((SUM('K7'!H85,'K7'!H89,'K7'!H92,'K7'!H93,'K7'!H94,'K7'!H95))&lt;100,100,(SUM('K7'!H85,'K7'!H89,'K7'!H92,'K7'!H93,'K7'!H94,'K7'!H95)))))</f>
        <v>#NUM!</v>
      </c>
      <c r="C51" s="12" t="e">
        <f>IF(AND('K7'!H96=0,'K7'!H76=0),0,IF('K7'!H96&lt;=400,100,IF((SUM('K7'!H85,'K7'!H89,'K7'!H92,'K7'!H93,'K7'!H94,'K7'!H95)+30)&lt;100,100,(SUM('K7'!H85,'K7'!H89,'K7'!H92,'K7'!H93,'K7'!H94,'K7'!H95)+30))))</f>
        <v>#NUM!</v>
      </c>
      <c r="D51" s="12" t="e">
        <f>IF(AND('K7'!H96=0,'K7'!H76=0),0,MAX(SUM('K7'!H85,'K7'!H89,'K7'!H92,'K7'!H93,'K7'!H94,'K7'!H95),J35))</f>
        <v>#NUM!</v>
      </c>
      <c r="E51" s="12" t="e">
        <f>IF(AND('K7'!H96=0,'K7'!H76=0),0,MAX(SUM('K7'!H85,'K7'!H89,'K7'!H92,'K7'!H93,'K7'!H94,'K7'!H95)+30,J35))</f>
        <v>#NUM!</v>
      </c>
      <c r="F51" s="12" t="e">
        <f>IF('K7'!H61&lt;18,Grundfreibeträge!B51,Grundfreibeträge!C51)</f>
        <v>#NUM!</v>
      </c>
      <c r="G51" s="12" t="e">
        <f>IF('K7'!H61&lt;18,Grundfreibeträge!D51,Grundfreibeträge!E51)</f>
        <v>#NUM!</v>
      </c>
      <c r="H51" s="12" t="e">
        <f>IF('K7'!H96&lt;1000,0,IF('K7'!H96&gt;=1200,20,ROUND(('K7'!H96-1000)*10%,2)))</f>
        <v>#NUM!</v>
      </c>
    </row>
    <row r="52" spans="1:8" x14ac:dyDescent="0.2">
      <c r="A52" s="23" t="s">
        <v>341</v>
      </c>
      <c r="B52" s="23" t="s">
        <v>248</v>
      </c>
      <c r="C52" s="23" t="s">
        <v>245</v>
      </c>
      <c r="D52" s="23" t="s">
        <v>246</v>
      </c>
      <c r="E52" s="23" t="s">
        <v>247</v>
      </c>
      <c r="F52" s="23" t="s">
        <v>249</v>
      </c>
      <c r="G52" s="23" t="s">
        <v>250</v>
      </c>
    </row>
    <row r="53" spans="1:8" x14ac:dyDescent="0.2">
      <c r="A53" s="23">
        <v>1</v>
      </c>
      <c r="B53" s="12" t="e">
        <f>IF(AND('K8'!C96=0,'K8'!C76=0),0,IF('K8'!C96&lt;=400,100,IF((SUM('K8'!C85,'K8'!C89,'K8'!C92,'K8'!C93,'K8'!C94,'K8'!C95))&lt;100,100,(SUM('K8'!C85,'K8'!C89,'K8'!C92,'K8'!C93,'K8'!C94,'K8'!C95)))))</f>
        <v>#NUM!</v>
      </c>
      <c r="C53" s="12" t="e">
        <f>IF(AND('K8'!C96=0,'K8'!C76=0),0,IF('K8'!C96&lt;=400,100,IF((SUM('K8'!C85,'K8'!C89,'K8'!C92,'K8'!C93,'K8'!C94,'K8'!C95)+30)&lt;100,100,(SUM('K8'!C85,'K8'!C89,'K8'!C92,'K8'!C93,'K8'!C94,'K8'!C95)+30))))</f>
        <v>#NUM!</v>
      </c>
      <c r="D53" s="12" t="e">
        <f>IF(AND('K8'!C96=0,'K8'!C76=0),0,MAX(SUM('K8'!C85,'K8'!C89,'K8'!C92,'K8'!C93,'K8'!C94,'K8'!C95),J30))</f>
        <v>#NUM!</v>
      </c>
      <c r="E53" s="12" t="e">
        <f>IF(AND('K8'!C96=0,'K8'!C76=0),0,MAX(SUM('K8'!C85,'K8'!C89,'K8'!C92,'K8'!C93,'K8'!C94,'K8'!C95)+30,J30))</f>
        <v>#NUM!</v>
      </c>
      <c r="F53" s="12" t="e">
        <f>IF('K8'!C61&lt;18,Grundfreibeträge!B53,Grundfreibeträge!C53)</f>
        <v>#NUM!</v>
      </c>
      <c r="G53" s="12" t="e">
        <f>IF('K8'!C61&lt;18,Grundfreibeträge!D53,Grundfreibeträge!E53)</f>
        <v>#NUM!</v>
      </c>
      <c r="H53" s="12" t="e">
        <f>IF('K8'!C96&lt;1000,0,IF('K8'!C96&gt;=1200,20,ROUND(('K8'!C96-1000)*10%,2)))</f>
        <v>#NUM!</v>
      </c>
    </row>
    <row r="54" spans="1:8" x14ac:dyDescent="0.2">
      <c r="A54" s="23">
        <v>2</v>
      </c>
      <c r="B54" s="12" t="e">
        <f>IF(AND('K8'!D96=0,'K8'!D76=0),0,IF('K8'!D96&lt;=400,100,IF((SUM('K8'!D85,'K8'!D89,'K8'!D92,'K8'!D93,'K8'!D94,'K8'!D95))&lt;100,100,(SUM('K8'!D85,'K8'!D89,'K8'!D92,'K8'!D93,'K8'!D94,'K8'!D95)))))</f>
        <v>#NUM!</v>
      </c>
      <c r="C54" s="12" t="e">
        <f>IF(AND('K8'!D96=0,'K8'!D76=0),0,IF('K8'!D96&lt;=400,100,IF((SUM('K8'!D85,'K8'!D89,'K8'!D92,'K8'!D93,'K8'!D94,'K8'!D95)+30)&lt;100,100,(SUM('K8'!D85,'K8'!D89,'K8'!D92,'K8'!D93,'K8'!D94,'K8'!D95)+30))))</f>
        <v>#NUM!</v>
      </c>
      <c r="D54" s="12" t="e">
        <f>IF(AND('K8'!D96=0,'K8'!D76=0),0,MAX(SUM('K8'!D85,'K8'!D89,'K8'!D92,'K8'!D93,'K8'!D94,'K8'!D95),J31))</f>
        <v>#NUM!</v>
      </c>
      <c r="E54" s="12" t="e">
        <f>IF(AND('K8'!D96=0,'K8'!D76=0),0,MAX(SUM('K8'!D85,'K8'!D89,'K8'!D92,'K8'!D93,'K8'!D94,'K8'!D95)+30,J31))</f>
        <v>#NUM!</v>
      </c>
      <c r="F54" s="12" t="e">
        <f>IF('K8'!D61&lt;18,Grundfreibeträge!B54,Grundfreibeträge!C54)</f>
        <v>#NUM!</v>
      </c>
      <c r="G54" s="12" t="e">
        <f>IF('K8'!D61&lt;18,Grundfreibeträge!D54,Grundfreibeträge!E54)</f>
        <v>#NUM!</v>
      </c>
      <c r="H54" s="12" t="e">
        <f>IF('K8'!D96&lt;1000,0,IF('K8'!D96&gt;=1200,20,ROUND(('K8'!D96-1000)*10%,2)))</f>
        <v>#NUM!</v>
      </c>
    </row>
    <row r="55" spans="1:8" x14ac:dyDescent="0.2">
      <c r="A55" s="23">
        <v>3</v>
      </c>
      <c r="B55" s="12" t="e">
        <f>IF(AND('K8'!E96=0,'K8'!E76=0),0,IF('K8'!E96&lt;=400,100,IF((SUM('K8'!E85,'K8'!E89,'K8'!E92,'K8'!E93,'K8'!E94,'K8'!E95))&lt;100,100,(SUM('K8'!E85,'K8'!E89,'K8'!E92,'K8'!E93,'K8'!E94,'K8'!E95)))))</f>
        <v>#NUM!</v>
      </c>
      <c r="C55" s="12" t="e">
        <f>IF(AND('K8'!E96=0,'K8'!E76=0),0,IF('K8'!E96&lt;=400,100,IF((SUM('K8'!E85,'K8'!E89,'K8'!E92,'K8'!E93,'K8'!E94,'K8'!E95)+30)&lt;100,100,(SUM('K8'!E85,'K8'!E89,'K8'!E92,'K8'!E93,'K8'!E94,'K8'!E95)+30))))</f>
        <v>#NUM!</v>
      </c>
      <c r="D55" s="12" t="e">
        <f>IF(AND('K8'!E96=0,'K8'!E76=0),0,MAX(SUM('K8'!E85,'K8'!E89,'K8'!E92,'K8'!E93,'K8'!E94,'K8'!E95),J32))</f>
        <v>#NUM!</v>
      </c>
      <c r="E55" s="12" t="e">
        <f>IF(AND('K8'!E96=0,'K8'!E76=0),0,MAX(SUM('K8'!E85,'K8'!E89,'K8'!E92,'K8'!E93,'K8'!E94,'K8'!E95)+30,J32))</f>
        <v>#NUM!</v>
      </c>
      <c r="F55" s="12" t="e">
        <f>IF('K8'!E606&lt;18,Grundfreibeträge!B55,Grundfreibeträge!C55)</f>
        <v>#NUM!</v>
      </c>
      <c r="G55" s="12" t="e">
        <f>IF('K8'!E61&lt;18,Grundfreibeträge!D55,Grundfreibeträge!E55)</f>
        <v>#NUM!</v>
      </c>
      <c r="H55" s="12" t="e">
        <f>IF('K8'!E96&lt;1000,0,IF('K8'!E96&gt;=1200,20,ROUND(('K8'!E96-1000)*10%,2)))</f>
        <v>#NUM!</v>
      </c>
    </row>
    <row r="56" spans="1:8" x14ac:dyDescent="0.2">
      <c r="A56" s="23">
        <v>4</v>
      </c>
      <c r="B56" s="12" t="e">
        <f>IF(AND('K8'!F96=0,'K8'!F76=0),0,IF('K8'!F96&lt;=400,100,IF((SUM('K8'!F85,'K8'!F89,'K8'!F92,'K8'!F93,'K8'!F94,'K8'!F95))&lt;100,100,(SUM('K8'!F85,'K8'!F89,'K8'!F92,'K8'!F93,'K8'!F94,'K8'!F95)))))</f>
        <v>#NUM!</v>
      </c>
      <c r="C56" s="12" t="e">
        <f>IF(AND('K8'!F96=0,'K8'!F76=0),0,IF('K8'!F96&lt;=400,100,IF((SUM('K8'!F85,'K8'!F89,'K8'!F92,'K8'!F93,'K8'!F94,'K8'!F95)+30)&lt;100,100,(SUM('K8'!F85,'K8'!F89,'K8'!F92,'K8'!F93,'K8'!F94,'K8'!F95)+30))))</f>
        <v>#NUM!</v>
      </c>
      <c r="D56" s="12" t="e">
        <f>IF(AND('K8'!F96=0,'K8'!F76=0),0,MAX(SUM('K8'!F85,'K8'!F89,'K8'!F92,'K8'!F93,'K8'!F94,'K8'!F95),J33))</f>
        <v>#NUM!</v>
      </c>
      <c r="E56" s="12" t="e">
        <f>IF(AND('K8'!F96=0,'K8'!F76=0),0,MAX(SUM('K8'!F85,'K8'!F89,'K8'!F92,'K8'!F93,'K8'!F94,'K8'!F95)+30,J33))</f>
        <v>#NUM!</v>
      </c>
      <c r="F56" s="12" t="e">
        <f>IF('K8'!F61&lt;18,Grundfreibeträge!B56,Grundfreibeträge!C56)</f>
        <v>#NUM!</v>
      </c>
      <c r="G56" s="12" t="e">
        <f>IF('K8'!F61&lt;18,Grundfreibeträge!D56,Grundfreibeträge!E56)</f>
        <v>#NUM!</v>
      </c>
      <c r="H56" s="12" t="e">
        <f>IF('K8'!F96&lt;1000,0,IF('K8'!F96&gt;=1200,20,ROUND(('K8'!F96-1000)*10%,2)))</f>
        <v>#NUM!</v>
      </c>
    </row>
    <row r="57" spans="1:8" x14ac:dyDescent="0.2">
      <c r="A57" s="23">
        <v>5</v>
      </c>
      <c r="B57" s="12" t="e">
        <f>IF(AND('K8'!G96=0,'K8'!G76=0),0,IF('K8'!G96&lt;=400,100,IF((SUM('K8'!G85,'K8'!G89,'K8'!G92,'K8'!G93,'K8'!G94,'K8'!G95))&lt;100,100,(SUM('K8'!G85,'K8'!G89,'K8'!G92,'K8'!G93,'K8'!G94,'K8'!G95)))))</f>
        <v>#NUM!</v>
      </c>
      <c r="C57" s="12" t="e">
        <f>IF(AND('K8'!G96=0,'K8'!G76=0),0,IF('K8'!G96&lt;=400,100,IF((SUM('K8'!G85,'K8'!G89,'K8'!G92,'K8'!G93,'K8'!G94,'K8'!G95)+30)&lt;100,100,(SUM('K8'!G85,'K8'!G89,'K8'!G92,'K8'!G93,'K8'!G94,'K8'!G95)+30))))</f>
        <v>#NUM!</v>
      </c>
      <c r="D57" s="12" t="e">
        <f>IF(AND('K8'!G96=0,'K8'!G76=0),0,MAX(SUM('K8'!G85,'K8'!G89,'K8'!G92,'K8'!G93,'K8'!G94,'K8'!G95),J34))</f>
        <v>#NUM!</v>
      </c>
      <c r="E57" s="12" t="e">
        <f>IF(AND('K8'!G96=0,'K8'!G76=0),0,MAX(SUM('K8'!G85,'K8'!G89,'K8'!G92,'K8'!G93,'K8'!G94,'K8'!G95)+30,J34))</f>
        <v>#NUM!</v>
      </c>
      <c r="F57" s="12" t="e">
        <f>IF('K8'!G61&lt;18,Grundfreibeträge!B57,Grundfreibeträge!C57)</f>
        <v>#NUM!</v>
      </c>
      <c r="G57" s="12" t="e">
        <f>IF('K8'!G61&lt;18,Grundfreibeträge!D57,Grundfreibeträge!E57)</f>
        <v>#NUM!</v>
      </c>
      <c r="H57" s="12" t="e">
        <f>IF('K8'!G96&lt;1000,0,IF('K8'!G96&gt;=1200,20,ROUND(('K8'!G96-1000)*10%,2)))</f>
        <v>#NUM!</v>
      </c>
    </row>
    <row r="58" spans="1:8" x14ac:dyDescent="0.2">
      <c r="A58" s="23">
        <v>6</v>
      </c>
      <c r="B58" s="12" t="e">
        <f>IF(AND('K8'!H96=0,'K8'!H76=0),0,IF('K8'!H96&lt;=400,100,IF((SUM('K8'!H85,'K8'!H89,'K8'!H92,'K8'!H93,'K8'!H94,'K8'!H95))&lt;100,100,(SUM('K8'!H85,'K8'!H89,'K8'!H92,'K8'!H93,'K8'!H94,'K8'!H95)))))</f>
        <v>#NUM!</v>
      </c>
      <c r="C58" s="12" t="e">
        <f>IF(AND('K8'!H96=0,'K8'!H76=0),0,IF('K8'!H96&lt;=400,100,IF((SUM('K8'!H85,'K8'!H89,'K8'!H92,'K8'!H93,'K8'!H94,'K8'!H95)+30)&lt;100,100,(SUM('K8'!H85,'K8'!H89,'K8'!H92,'K8'!H93,'K8'!H94,'K8'!H95)+30))))</f>
        <v>#NUM!</v>
      </c>
      <c r="D58" s="12" t="e">
        <f>IF(AND('K8'!H96=0,'K8'!H76=0),0,MAX(SUM('K8'!H85,'K8'!H89,'K8'!H92,'K8'!H93,'K8'!H94,'K8'!H95),J35))</f>
        <v>#NUM!</v>
      </c>
      <c r="E58" s="12" t="e">
        <f>IF(AND('K8'!H96=0,'K8'!H76=0),0,MAX(SUM('K8'!H85,'K8'!H89,'K8'!H92,'K8'!H93,'K8'!H94,'K8'!H95)+30,J35))</f>
        <v>#NUM!</v>
      </c>
      <c r="F58" s="12" t="e">
        <f>IF('K8'!H61&lt;18,Grundfreibeträge!B58,Grundfreibeträge!C58)</f>
        <v>#NUM!</v>
      </c>
      <c r="G58" s="12" t="e">
        <f>IF('K8'!G61&lt;18,Grundfreibeträge!D58,Grundfreibeträge!E58)</f>
        <v>#NUM!</v>
      </c>
      <c r="H58" s="12" t="e">
        <f>IF('K8'!H96&lt;1000,0,IF('K8'!H96&gt;=1200,20,ROUND(('K8'!H96-1000)*10%,2)))</f>
        <v>#NUM!</v>
      </c>
    </row>
    <row r="59" spans="1:8" x14ac:dyDescent="0.2">
      <c r="A59" s="23" t="s">
        <v>342</v>
      </c>
      <c r="B59" s="23" t="s">
        <v>248</v>
      </c>
      <c r="C59" s="23" t="s">
        <v>245</v>
      </c>
      <c r="D59" s="23" t="s">
        <v>246</v>
      </c>
      <c r="E59" s="23" t="s">
        <v>247</v>
      </c>
      <c r="F59" s="23" t="s">
        <v>249</v>
      </c>
      <c r="G59" s="23" t="s">
        <v>250</v>
      </c>
    </row>
    <row r="60" spans="1:8" x14ac:dyDescent="0.2">
      <c r="A60" s="23">
        <v>1</v>
      </c>
      <c r="B60" s="12" t="e">
        <f>IF(AND('K9'!C96=0,'K9'!C76=0),0,IF('K9'!C96&lt;=400,100,IF((SUM('K9'!C85,'K9'!C89,'K9'!C92,'K9'!C93,'K9'!C94,'K9'!C95))&lt;100,100,(SUM('K9'!C85,'K9'!C89,'K9'!C92,'K9'!C93,'K9'!C94,'K9'!C95)))))</f>
        <v>#NUM!</v>
      </c>
      <c r="C60" s="12" t="e">
        <f>IF(AND('K9'!C96=0,'K9'!C76=0),0,IF('K9'!C96&lt;=400,100,IF((SUM('K9'!C85,'K9'!C89,'K9'!C92,'K9'!C93,'K9'!C94,'K9'!C95)+30)&lt;100,100,(SUM('K9'!C85,'K9'!C89,'K9'!C92,'K9'!C93,'K9'!C94,'K9'!C95)+30))))</f>
        <v>#NUM!</v>
      </c>
      <c r="D60" s="12" t="e">
        <f>IF(AND('K9'!C96=0,'K9'!C76=0),0,MAX(SUM('K9'!C85,'K9'!C89,'K9'!C92,'K9'!C93,'K9'!C94,'K9'!C95),J30))</f>
        <v>#NUM!</v>
      </c>
      <c r="E60" s="12" t="e">
        <f>IF(AND('K9'!C96=0,'K9'!C76=0),0,MAX(SUM('K9'!C85,'K9'!C89,'K9'!C92,'K9'!C93,'K9'!C94,'K9'!C95)+30,J30))</f>
        <v>#NUM!</v>
      </c>
      <c r="F60" s="12" t="e">
        <f>IF('K9'!C61&lt;18,Grundfreibeträge!B60,Grundfreibeträge!C60)</f>
        <v>#NUM!</v>
      </c>
      <c r="G60" s="12" t="e">
        <f>IF('K9'!C61&lt;18,Grundfreibeträge!D60,Grundfreibeträge!E60)</f>
        <v>#NUM!</v>
      </c>
      <c r="H60" s="12" t="e">
        <f>IF('K9'!C96&lt;1000,0,IF('K9'!C96&gt;=1200,20,ROUND(('K9'!C96-1000)*10%,2)))</f>
        <v>#NUM!</v>
      </c>
    </row>
    <row r="61" spans="1:8" x14ac:dyDescent="0.2">
      <c r="A61" s="23">
        <v>2</v>
      </c>
      <c r="B61" s="12" t="e">
        <f>IF(AND('K9'!D96=0,'K9'!D76=0),0,IF('K9'!D96&lt;=400,100,IF((SUM('K9'!D85,'K9'!D89,'K9'!D92,'K9'!D93,'K9'!D94,'K9'!D95))&lt;100,100,(SUM('K9'!D85,'K9'!D89,'K9'!D92,'K9'!D93,'K9'!D94,'K9'!D95)))))</f>
        <v>#NUM!</v>
      </c>
      <c r="C61" s="12" t="e">
        <f>IF(AND('K9'!D96=0,'K9'!D76=0),0,IF('K9'!D96&lt;=400,100,IF((SUM('K9'!D85,'K9'!D89,'K9'!D92,'K9'!D93,'K9'!D94,'K9'!D95)+30)&lt;100,100,(SUM('K9'!D85,'K9'!D89,'K9'!D92,'K9'!D93,'K9'!D94,'K9'!D95)+30))))</f>
        <v>#NUM!</v>
      </c>
      <c r="D61" s="12" t="e">
        <f>IF(AND('K9'!D96=0,'K9'!D76=0),0,MAX(SUM('K9'!D85,'K9'!D89,'K9'!D92,'K9'!D93,'K9'!D94,'K9'!D95),J31))</f>
        <v>#NUM!</v>
      </c>
      <c r="E61" s="12" t="e">
        <f>IF(AND('K9'!D96=0,'K9'!D76=0),0,MAX(SUM('K9'!D85,'K9'!D89,'K9'!D92,'K9'!D93,'K9'!D94,'K9'!D95)+30,J31))</f>
        <v>#NUM!</v>
      </c>
      <c r="F61" s="12" t="e">
        <f>IF('K9'!D61&lt;18,Grundfreibeträge!B61,Grundfreibeträge!C61)</f>
        <v>#NUM!</v>
      </c>
      <c r="G61" s="12" t="e">
        <f>IF('K9'!D61&lt;18,Grundfreibeträge!D61,Grundfreibeträge!E61)</f>
        <v>#NUM!</v>
      </c>
      <c r="H61" s="12" t="e">
        <f>IF('K9'!D96&lt;1000,0,IF('K9'!D96&gt;=1200,20,ROUND(('K9'!D96-1000)*10%,2)))</f>
        <v>#NUM!</v>
      </c>
    </row>
    <row r="62" spans="1:8" x14ac:dyDescent="0.2">
      <c r="A62" s="23">
        <v>3</v>
      </c>
      <c r="B62" s="12" t="e">
        <f>IF(AND('K9'!E96=0,'K9'!E76=0),0,IF('K9'!E96&lt;=400,100,IF((SUM('K9'!E85,'K9'!E89,'K9'!E92,'K9'!E93,'K9'!E94,'K9'!E95))&lt;100,100,(SUM('K9'!E85,'K9'!E89,'K9'!E92,'K9'!E93,'K9'!E94,'K9'!E95)))))</f>
        <v>#NUM!</v>
      </c>
      <c r="C62" s="12" t="e">
        <f>IF(AND('K9'!E96=0,'K9'!E76=0),0,IF('K9'!E96&lt;=400,100,IF((SUM('K9'!E85,'K9'!E89,'K9'!E92,'K9'!E93,'K9'!E94,'K9'!E95)+30)&lt;100,100,(SUM('K9'!E85,'K9'!E89,'K9'!E92,'K9'!E93,'K9'!E94,'K9'!E95)+30))))</f>
        <v>#NUM!</v>
      </c>
      <c r="D62" s="12" t="e">
        <f>IF(AND('K9'!E96=0,'K9'!E76=0),0,MAX(SUM('K9'!E85,'K9'!E89,'K9'!E92,'K9'!E93,'K9'!E94,'K9'!E95),J32))</f>
        <v>#NUM!</v>
      </c>
      <c r="E62" s="12" t="e">
        <f>IF(AND('K9'!E96=0,'K9'!E76=0),0,MAX(SUM('K9'!E85,'K9'!E89,'K9'!E92,'K9'!E93,'K9'!E94,'K9'!E95)+30,J32))</f>
        <v>#NUM!</v>
      </c>
      <c r="F62" s="12" t="e">
        <f>IF('K9'!E61&lt;18,Grundfreibeträge!B62,Grundfreibeträge!C62)</f>
        <v>#NUM!</v>
      </c>
      <c r="G62" s="12" t="e">
        <f>IF('K9'!E61&lt;18,Grundfreibeträge!D62,Grundfreibeträge!E62)</f>
        <v>#NUM!</v>
      </c>
      <c r="H62" s="12" t="e">
        <f>IF('K9'!E96&lt;1000,0,IF('K9'!E96&gt;=1200,20,ROUND(('K9'!E96-1000)*10%,2)))</f>
        <v>#NUM!</v>
      </c>
    </row>
    <row r="63" spans="1:8" x14ac:dyDescent="0.2">
      <c r="A63" s="23">
        <v>4</v>
      </c>
      <c r="B63" s="12" t="e">
        <f>IF(AND('K9'!F96=0,'K9'!F76=0),0,IF('K9'!F96&lt;=400,100,IF((SUM('K9'!F85,'K9'!F89,'K9'!F92,'K9'!F93,'K9'!F94,'K9'!F95))&lt;100,100,(SUM('K9'!F85,'K9'!F89,'K9'!F92,'K9'!F93,'K9'!F94,'K9'!F95)))))</f>
        <v>#NUM!</v>
      </c>
      <c r="C63" s="12" t="e">
        <f>IF(AND('K9'!F96=0,'K9'!F76=0),0,IF('K9'!F96&lt;=400,100,IF((SUM('K9'!F85,'K9'!F89,'K9'!F92,'K9'!F93,'K9'!F94,'K9'!F95)+30)&lt;100,100,(SUM('K9'!F85,'K9'!F89,'K9'!F92,'K9'!F93,'K9'!F94,'K9'!F95)+30))))</f>
        <v>#NUM!</v>
      </c>
      <c r="D63" s="12" t="e">
        <f>IF(AND('K9'!F96=0,'K9'!F76=0),0,MAX(SUM('K9'!F85,'K9'!F89,'K9'!F92,'K9'!F93,'K9'!F94,'K9'!F95),J33))</f>
        <v>#NUM!</v>
      </c>
      <c r="E63" s="12" t="e">
        <f>IF(AND('K9'!F96=0,'K9'!F76=0),0,MAX(SUM('K9'!F85,'K9'!F89,'K9'!F92,'K9'!F93,'K9'!F94,'K9'!F95)+30,J33))</f>
        <v>#NUM!</v>
      </c>
      <c r="F63" s="12" t="e">
        <f>IF('K9'!F61&lt;18,Grundfreibeträge!B63,Grundfreibeträge!C63)</f>
        <v>#NUM!</v>
      </c>
      <c r="G63" s="12" t="e">
        <f>IF('K9'!F61&lt;18,Grundfreibeträge!D63,Grundfreibeträge!E63)</f>
        <v>#NUM!</v>
      </c>
      <c r="H63" s="12" t="e">
        <f>IF('K9'!F96&lt;1000,0,IF('K9'!F96&gt;=1200,20,ROUND(('K9'!F96-1000)*10%,2)))</f>
        <v>#NUM!</v>
      </c>
    </row>
    <row r="64" spans="1:8" x14ac:dyDescent="0.2">
      <c r="A64" s="23">
        <v>5</v>
      </c>
      <c r="B64" s="12" t="e">
        <f>IF(AND('K9'!G96=0,'K9'!G76=0),0,IF('K9'!G96&lt;=400,100,IF((SUM('K9'!G85,'K9'!G89,'K9'!G92,'K9'!G93,'K9'!G94,'K9'!G95))&lt;100,100,(SUM('K9'!G85,'K9'!G89,'K9'!G92,'K9'!G93,'K9'!G94,'K9'!G95)))))</f>
        <v>#NUM!</v>
      </c>
      <c r="C64" s="15" t="e">
        <f>IF(AND('K9'!G96=0,'K9'!G76=0),0,IF('K9'!G96&lt;=400,100,IF((SUM('K9'!G85,'K9'!G89,'K9'!G92,'K9'!G93,'K9'!G94,'K9'!G95)+30)&lt;100,100,(SUM('K9'!G85,'K9'!G89,'K9'!G92,'K9'!G93,'K9'!G94,'K9'!G95)+30))))</f>
        <v>#NUM!</v>
      </c>
      <c r="D64" s="12" t="e">
        <f>IF(AND('K9'!G96=0,'K9'!G76=0),0,MAX(SUM('K9'!G85,'K9'!G89,'K9'!G92,'K9'!G93,'K9'!G94,'K9'!G95),J34))</f>
        <v>#NUM!</v>
      </c>
      <c r="E64" s="15" t="e">
        <f>IF(AND('K9'!G96=0,'K9'!G76=0),0,MAX(SUM('K9'!G85,'K9'!G89,'K9'!G92,'K9'!G93,'K9'!G94,'K9'!G95)+30,J34))</f>
        <v>#NUM!</v>
      </c>
      <c r="F64" s="12" t="e">
        <f>IF('K9'!G61&lt;18,Grundfreibeträge!B64,Grundfreibeträge!C64)</f>
        <v>#NUM!</v>
      </c>
      <c r="G64" s="12" t="e">
        <f>IF('K9'!G61&lt;18,Grundfreibeträge!D64,Grundfreibeträge!E64)</f>
        <v>#NUM!</v>
      </c>
      <c r="H64" s="12" t="e">
        <f>IF('K9'!G96&lt;1000,0,IF('K9'!G96&gt;=1200,20,ROUND(('K9'!G96-1000)*10%,2)))</f>
        <v>#NUM!</v>
      </c>
    </row>
    <row r="65" spans="1:8" x14ac:dyDescent="0.2">
      <c r="A65" s="23">
        <v>6</v>
      </c>
      <c r="B65" s="12" t="e">
        <f>IF(AND('K9'!H96=0,'K9'!H76=0),0,IF('K9'!H96&lt;=400,100,IF((SUM('K9'!H85,'K9'!H89,'K9'!H92,'K9'!H93,'K9'!H94,'K9'!H95))&lt;100,100,(SUM('K9'!H85,'K9'!H89,'K9'!H92,'K9'!H93,'K9'!H94,'K9'!H95)))))</f>
        <v>#NUM!</v>
      </c>
      <c r="C65" s="12" t="e">
        <f>IF(AND('K9'!H96=0,'K9'!H76=0),0,IF('K9'!H96&lt;=400,100,IF((SUM('K9'!H85,'K9'!H89,'K9'!H92,'K9'!H93,'K9'!H94,'K9'!H95)+30)&lt;100,100,(SUM('K9'!H85,'K9'!H89,'K9'!H92,'K9'!H93,'K9'!H94,'K9'!H95)+30))))</f>
        <v>#NUM!</v>
      </c>
      <c r="D65" s="12" t="e">
        <f>IF(AND('K9'!H96=0,'K9'!H76=0),0,MAX(SUM('K9'!H85,'K9'!H89,'K9'!H92,'K9'!H93,'K9'!H94,'K9'!H95),J35))</f>
        <v>#NUM!</v>
      </c>
      <c r="E65" s="12" t="e">
        <f>IF(AND('K9'!H96=0,'K9'!H76=0),0,MAX(SUM('K9'!H85,'K9'!H89,'K9'!H92,'K9'!H93,'K9'!H94,'K9'!H95)+30,J35))</f>
        <v>#NUM!</v>
      </c>
      <c r="F65" s="12" t="e">
        <f>IF('K9'!H61&lt;18,Grundfreibeträge!B65,Grundfreibeträge!C65)</f>
        <v>#NUM!</v>
      </c>
      <c r="G65" s="12" t="e">
        <f>IF('K9'!H61&lt;18,Grundfreibeträge!D65,Grundfreibeträge!E65)</f>
        <v>#NUM!</v>
      </c>
      <c r="H65" s="12" t="e">
        <f>IF('K9'!H96&lt;1000,0,IF('K9'!H96&gt;=1200,20,ROUND(('K9'!H96-1000)*10%,2)))</f>
        <v>#NUM!</v>
      </c>
    </row>
    <row r="66" spans="1:8" x14ac:dyDescent="0.2">
      <c r="A66" s="23" t="s">
        <v>343</v>
      </c>
      <c r="B66" s="23" t="s">
        <v>248</v>
      </c>
      <c r="C66" s="23" t="s">
        <v>245</v>
      </c>
      <c r="D66" s="23" t="s">
        <v>246</v>
      </c>
      <c r="E66" s="23" t="s">
        <v>247</v>
      </c>
      <c r="F66" s="23" t="s">
        <v>249</v>
      </c>
      <c r="G66" s="23" t="s">
        <v>250</v>
      </c>
    </row>
    <row r="67" spans="1:8" x14ac:dyDescent="0.2">
      <c r="A67" s="23">
        <v>1</v>
      </c>
      <c r="B67" s="12" t="e">
        <f>IF(AND('K10'!C96=0,'K10'!C76=0),0,IF('K10'!C96&lt;=400,100,IF((SUM('K10'!C85,'K10'!C89,'K10'!C92,'K10'!C93,'K10'!C94,'K10'!C95))&lt;100,100,(SUM('K10'!C85,'K10'!C89,'K10'!C92,'K10'!C93,'K10'!C94,'K10'!C95)))))</f>
        <v>#NUM!</v>
      </c>
      <c r="C67" s="12" t="e">
        <f>IF(AND('K10'!C96=0,'K10'!C76=0),0,IF('K10'!C96&lt;=400,100,IF((SUM('K10'!C85,'K10'!C89,'K10'!C92,'K10'!C93,'K10'!C94,'K10'!C95)+30)&lt;100,100,(SUM('K10'!C85,'K10'!C89,'K10'!C92,'K10'!C93,'K10'!C94,'K10'!C95)+30))))</f>
        <v>#NUM!</v>
      </c>
      <c r="D67" s="12" t="e">
        <f>IF(AND('K10'!C96=0,'K10'!C76=0),0,MAX(SUM('K10'!C85,'K10'!C89,'K10'!C92,'K10'!C93,'K10'!C94,'K10'!C95),J30))</f>
        <v>#NUM!</v>
      </c>
      <c r="E67" s="12" t="e">
        <f>IF(AND('K10'!C96=0,'K10'!C76=0),0,MAX(SUM('K10'!C85,'K10'!C89,'K10'!C92,'K10'!C93,'K10'!C94,'K10'!C95)+30,J30))</f>
        <v>#NUM!</v>
      </c>
      <c r="F67" s="12" t="e">
        <f>IF('K10'!C61&lt;18,Grundfreibeträge!B67,Grundfreibeträge!C67)</f>
        <v>#NUM!</v>
      </c>
      <c r="G67" s="12" t="e">
        <f>IF('K10'!C61&lt;18,Grundfreibeträge!D67,Grundfreibeträge!E67)</f>
        <v>#NUM!</v>
      </c>
      <c r="H67" s="12" t="e">
        <f>IF('K10'!C96&lt;1000,0,IF('K10'!C96&gt;=1200,20,ROUND(('K10'!C96-1000)*10%,2)))</f>
        <v>#NUM!</v>
      </c>
    </row>
    <row r="68" spans="1:8" x14ac:dyDescent="0.2">
      <c r="A68" s="23">
        <v>2</v>
      </c>
      <c r="B68" s="12" t="e">
        <f>IF(AND('K10'!D96=0,'K10'!D76=0),0,IF('K10'!D96&lt;=400,100,IF((SUM('K10'!D85,'K10'!D89,'K10'!D92,'K10'!D93,'K10'!D94,'K10'!D95))&lt;100,100,(SUM('K10'!D85,'K10'!D89,'K10'!D92,'K10'!D93,'K10'!D94,'K10'!D95)))))</f>
        <v>#NUM!</v>
      </c>
      <c r="C68" s="12" t="e">
        <f>IF(AND('K10'!D96=0,'K10'!D76=0),0,IF('K10'!D96&lt;=400,100,IF((SUM('K10'!D85,'K10'!D89,'K10'!D92,'K10'!D93,'K10'!D94,'K10'!D95)+30)&lt;100,100,(SUM('K10'!D85,'K10'!D89,'K10'!D92,'K10'!D93,'K10'!D94,'K10'!D95)+30))))</f>
        <v>#NUM!</v>
      </c>
      <c r="D68" s="12" t="e">
        <f>IF(AND('K10'!D96=0,'K10'!D76=0),0,MAX(SUM('K10'!D85,'K10'!D89,'K10'!D92,'K10'!D93,'K10'!D94,'K10'!D95),J31))</f>
        <v>#NUM!</v>
      </c>
      <c r="E68" s="12" t="e">
        <f>IF(AND('K10'!D96=0,'K10'!D76=0),0,MAX(SUM('K10'!D85,'K10'!D89,'K10'!D92,'K10'!D93,'K10'!D94,'K10'!D95)+30,J31))</f>
        <v>#NUM!</v>
      </c>
      <c r="F68" s="12" t="e">
        <f>IF('K10'!D61&lt;18,Grundfreibeträge!B68,Grundfreibeträge!C68)</f>
        <v>#NUM!</v>
      </c>
      <c r="G68" s="12" t="e">
        <f>IF('K10'!D61&lt;18,Grundfreibeträge!D68,Grundfreibeträge!E68)</f>
        <v>#NUM!</v>
      </c>
      <c r="H68" s="12" t="e">
        <f>IF('K10'!D96&lt;1000,0,IF('K10'!D96&gt;=1200,20,ROUND(('K10'!D96-1000)*10%,2)))</f>
        <v>#NUM!</v>
      </c>
    </row>
    <row r="69" spans="1:8" x14ac:dyDescent="0.2">
      <c r="A69" s="23">
        <v>3</v>
      </c>
      <c r="B69" s="12" t="e">
        <f>IF(AND('K10'!E96=0,'K10'!E76=0),0,IF('K10'!E96&lt;=400,100,IF((SUM('K10'!E85,'K10'!E89,'K10'!E92,'K10'!E93,'K10'!E94,'K10'!E95))&lt;100,100,(SUM('K10'!E85,'K10'!E89,'K10'!E92,'K10'!E93,'K10'!E94,'K10'!E95)))))</f>
        <v>#NUM!</v>
      </c>
      <c r="C69" s="12" t="e">
        <f>IF(AND('K10'!E96=0,'K10'!E76=0),0,IF('K10'!E96&lt;=400,100,IF((SUM('K10'!E85,'K10'!E89,'K10'!E92,'K10'!E93,'K10'!E94,'K10'!E95)+30)&lt;100,100,(SUM('K10'!E85,'K10'!E89,'K10'!E92,'K10'!E93,'K10'!E94,'K10'!E95)+30))))</f>
        <v>#NUM!</v>
      </c>
      <c r="D69" s="12" t="e">
        <f>IF(AND('K10'!E96=0,'K10'!E76=0),0,MAX(SUM('K10'!E85,'K10'!E89,'K10'!E92,'K10'!E93,'K10'!E94,'K10'!E95),J32))</f>
        <v>#NUM!</v>
      </c>
      <c r="E69" s="12" t="e">
        <f>IF(AND('K10'!E96=0,'K10'!E76=0),0,MAX(SUM('K10'!E85,'K10'!E89,'K10'!E92,'K10'!E93,'K10'!E94,'K10'!E95)+30,J32))</f>
        <v>#NUM!</v>
      </c>
      <c r="F69" s="12" t="e">
        <f>IF('K10'!E61&lt;18,Grundfreibeträge!B69,Grundfreibeträge!C69)</f>
        <v>#NUM!</v>
      </c>
      <c r="G69" s="12" t="e">
        <f>IF('K10'!E61&lt;18,Grundfreibeträge!D69,Grundfreibeträge!E69)</f>
        <v>#NUM!</v>
      </c>
      <c r="H69" s="12" t="e">
        <f>IF('K10'!E96&lt;1000,0,IF('K10'!E96&gt;=1200,20,ROUND(('K10'!E96-1000)*10%,2)))</f>
        <v>#NUM!</v>
      </c>
    </row>
    <row r="70" spans="1:8" x14ac:dyDescent="0.2">
      <c r="A70" s="23">
        <v>4</v>
      </c>
      <c r="B70" s="12" t="e">
        <f>IF(AND('K10'!F96=0,'K10'!F76=0),0,IF('K10'!F96&lt;=400,100,IF((SUM('K10'!F85,'K10'!F89,'K10'!F92,'K10'!F93,'K10'!F94,'K10'!F95))&lt;100,100,(SUM('K10'!F85,'K10'!F89,'K10'!F92,'K10'!F93,'K10'!F94,'K10'!F95)))))</f>
        <v>#NUM!</v>
      </c>
      <c r="C70" s="12" t="e">
        <f>IF(AND('K10'!F96=0,'K10'!F76=0),0,IF('K10'!F96&lt;=400,100,IF((SUM('K10'!F85,'K10'!F89,'K10'!F92,'K10'!F93,'K10'!F94,'K10'!F95)+30)&lt;100,100,(SUM('K10'!F85,'K10'!F89,'K10'!F92,'K10'!F93,'K10'!F94,'K10'!F95)+30))))</f>
        <v>#NUM!</v>
      </c>
      <c r="D70" s="12" t="e">
        <f>IF(AND('K10'!F96=0,'K10'!F76=0),0,MAX(SUM('K10'!F85,'K10'!F89,'K10'!F92,'K10'!F93,'K10'!F94,'K10'!F95),J33))</f>
        <v>#NUM!</v>
      </c>
      <c r="E70" s="12" t="e">
        <f>IF(AND('K10'!F96=0,'K10'!F76=0),0,MAX(SUM('K10'!F85,'K10'!F89,'K10'!F92,'K10'!F93,'K10'!F94,'K10'!F95)+30,J33))</f>
        <v>#NUM!</v>
      </c>
      <c r="F70" s="12" t="e">
        <f>IF('K10'!F61&lt;18,Grundfreibeträge!B70,Grundfreibeträge!C70)</f>
        <v>#NUM!</v>
      </c>
      <c r="G70" s="12" t="e">
        <f>IF('K10'!F61&lt;18,Grundfreibeträge!D70,Grundfreibeträge!E70)</f>
        <v>#NUM!</v>
      </c>
      <c r="H70" s="12" t="e">
        <f>IF('K10'!F96&lt;1000,0,IF('K10'!F96&gt;=1200,20,ROUND(('K10'!F96-1000)*10%,2)))</f>
        <v>#NUM!</v>
      </c>
    </row>
    <row r="71" spans="1:8" x14ac:dyDescent="0.2">
      <c r="A71" s="23">
        <v>5</v>
      </c>
      <c r="B71" s="12" t="e">
        <f>IF(AND('K10'!G96=0,'K10'!G76=0),0,IF('K10'!G96&lt;=400,100,IF((SUM('K10'!G85,'K10'!G89,'K10'!G92,'K10'!G93,'K10'!G94,'K10'!G95))&lt;100,100,(SUM('K10'!G85,'K10'!G89,'K10'!G92,'K10'!G93,'K10'!G94,'K10'!G95)))))</f>
        <v>#NUM!</v>
      </c>
      <c r="C71" s="12" t="e">
        <f>IF(AND('K10'!G96=0,'K10'!G76=0),0,IF('K10'!G96&lt;=400,100,IF((SUM('K10'!G85,'K10'!G89,'K10'!G92,'K10'!G93,'K10'!G94,'K10'!G95)+30)&lt;100,100,(SUM('K10'!G85,'K10'!G89,'K10'!G92,'K10'!G93,'K10'!G94,'K10'!G95)+30))))</f>
        <v>#NUM!</v>
      </c>
      <c r="D71" s="12" t="e">
        <f>IF(AND('K10'!G96=0,'K10'!G76=0),0,MAX(SUM('K10'!G85,'K10'!G89,'K10'!G92,'K10'!G93,'K10'!G94,'K10'!G95),J34))</f>
        <v>#NUM!</v>
      </c>
      <c r="E71" s="12" t="e">
        <f>IF(AND('K10'!G96=0,'K10'!G76=0),0,MAX(SUM('K10'!G85,'K10'!G89,'K10'!G92,'K10'!G93,'K10'!G94,'K10'!G95)+30,J34))</f>
        <v>#NUM!</v>
      </c>
      <c r="F71" s="12" t="e">
        <f>IF('K10'!G61&lt;18,Grundfreibeträge!B71,Grundfreibeträge!C71)</f>
        <v>#NUM!</v>
      </c>
      <c r="G71" s="12" t="e">
        <f>IF('K10'!G61&lt;18,Grundfreibeträge!D71,Grundfreibeträge!E71)</f>
        <v>#NUM!</v>
      </c>
      <c r="H71" s="12" t="e">
        <f>IF('K10'!G96&lt;1000,0,IF('K10'!G96&gt;=1200,20,ROUND(('K10'!G96-1000)*10%,2)))</f>
        <v>#NUM!</v>
      </c>
    </row>
    <row r="72" spans="1:8" x14ac:dyDescent="0.2">
      <c r="A72" s="23">
        <v>6</v>
      </c>
      <c r="B72" s="12" t="e">
        <f>IF(AND('K10'!H96=0,'K10'!H76=0),0,IF('K10'!H96&lt;=400,100,IF((SUM('K10'!H85,'K10'!H89,'K10'!H92,'K10'!H93,'K10'!H94,'K10'!H95))&lt;100,100,(SUM('K10'!H85,'K10'!H89,'K10'!H92,'K10'!H93,'K10'!H94,'K10'!H95)))))</f>
        <v>#NUM!</v>
      </c>
      <c r="C72" s="12" t="e">
        <f>IF(AND('K10'!H96=0,'K10'!H76=0),0,IF('K10'!H96&lt;=400,100,IF((SUM('K10'!H85,'K10'!H89,'K10'!H92,'K10'!H93,'K10'!H94,'K10'!H95)+30)&lt;100,100,(SUM('K10'!H85,'K10'!H89,'K10'!H92,'K10'!H93,'K10'!H94,'K10'!H95)+30))))</f>
        <v>#NUM!</v>
      </c>
      <c r="D72" s="12" t="e">
        <f>IF(AND('K10'!H96=0,'K10'!H76=0),0,MAX(SUM('K10'!H85,'K10'!H89,'K10'!H92,'K10'!H93,'K10'!H94,'K10'!H95),J35))</f>
        <v>#NUM!</v>
      </c>
      <c r="E72" s="779" t="e">
        <f>IF(AND('K10'!H96=0,'K10'!H76=0),0,MAX(SUM('K10'!H85,'K10'!H89,'K10'!H92,'K10'!H93,'K10'!H94,'K10'!H95)+30,J35))</f>
        <v>#NUM!</v>
      </c>
      <c r="F72" s="12" t="e">
        <f>IF('K10'!H61&lt;18,Grundfreibeträge!B72,Grundfreibeträge!C72)</f>
        <v>#NUM!</v>
      </c>
      <c r="G72" s="12" t="e">
        <f>IF('K10'!H61&lt;18,Grundfreibeträge!D72,Grundfreibeträge!E72)</f>
        <v>#NUM!</v>
      </c>
      <c r="H72" s="12" t="e">
        <f>IF('K10'!H96&lt;1000,0,IF('K10'!H96&gt;=1200,20,ROUND(('K10'!H96-1000)*10%,2)))</f>
        <v>#NUM!</v>
      </c>
    </row>
    <row r="73" spans="1:8" x14ac:dyDescent="0.2">
      <c r="A73" s="23" t="s">
        <v>344</v>
      </c>
      <c r="B73" s="23" t="s">
        <v>248</v>
      </c>
      <c r="C73" s="23" t="s">
        <v>245</v>
      </c>
      <c r="D73" s="23" t="s">
        <v>246</v>
      </c>
      <c r="E73" s="23" t="s">
        <v>247</v>
      </c>
      <c r="F73" s="23" t="s">
        <v>249</v>
      </c>
      <c r="G73" s="23" t="s">
        <v>250</v>
      </c>
    </row>
    <row r="74" spans="1:8" x14ac:dyDescent="0.2">
      <c r="A74" s="23">
        <v>1</v>
      </c>
      <c r="B74" s="12" t="e">
        <f>IF(AND('K11'!C96=0,'K11'!C76=0),0,IF('K11'!C96&lt;=400,100,IF((SUM('K11'!C85,'K11'!C89,'K11'!C92,'K11'!C93,'K11'!C94,'K11'!C95))&lt;100,100,(SUM('K11'!C85,'K11'!C89,'K11'!C92,'K11'!C93,'K11'!C94,'K11'!C95)))))</f>
        <v>#NUM!</v>
      </c>
      <c r="C74" s="12" t="e">
        <f>IF(AND('K11'!C96=0,'K11'!C76=0),0,IF('K11'!C96&lt;=400,100,IF((SUM('K11'!C85,'K11'!C89,'K11'!C92,'K11'!C93,'K11'!C94,'K11'!C95)+30)&lt;100,100,(SUM('K11'!C85,'K11'!C89,'K11'!C92,'K11'!C93,'K11'!C94,'K11'!C95)+30))))</f>
        <v>#NUM!</v>
      </c>
      <c r="D74" s="12" t="e">
        <f>IF(AND('K11'!C96=0,'K11'!C76=0),0,MAX(SUM('K11'!C85,'K11'!C89,'K11'!C92,'K11'!C93,'K11'!C94,'K11'!C95),J30))</f>
        <v>#NUM!</v>
      </c>
      <c r="E74" s="12" t="e">
        <f>IF(AND('K11'!C96=0,'K11'!C76=0),0,MAX(SUM('K11'!C85,'K11'!C89,'K11'!C92,'K11'!C93,'K11'!C94,'K11'!C95)+30,J30))</f>
        <v>#NUM!</v>
      </c>
      <c r="F74" s="12" t="e">
        <f>IF('K11'!C61&lt;18,Grundfreibeträge!B74,Grundfreibeträge!C74)</f>
        <v>#NUM!</v>
      </c>
      <c r="G74" s="12" t="e">
        <f>IF('K11'!C61&lt;18,Grundfreibeträge!D74,Grundfreibeträge!E74)</f>
        <v>#NUM!</v>
      </c>
      <c r="H74" s="12" t="e">
        <f>IF('K11'!C96&lt;1000,0,IF('K11'!C96&gt;=1200,20,ROUND(('K11'!C96-1000)*10%,2)))</f>
        <v>#NUM!</v>
      </c>
    </row>
    <row r="75" spans="1:8" x14ac:dyDescent="0.2">
      <c r="A75" s="23">
        <v>2</v>
      </c>
      <c r="B75" s="12" t="e">
        <f>IF(AND('K11'!D96=0,'K11'!D76=0),0,IF('K11'!D96&lt;=400,100,IF((SUM('K11'!D85,'K11'!D89,'K11'!D92,'K11'!D93,'K11'!D94,'K11'!D95))&lt;100,100,(SUM('K11'!D85,'K11'!D89,'K11'!D92,'K11'!D93,'K11'!D94,'K11'!D95)))))</f>
        <v>#NUM!</v>
      </c>
      <c r="C75" s="12" t="e">
        <f>IF(AND('K11'!D96=0,'K11'!D76=0),0,IF('K11'!D96&lt;=400,100,IF((SUM('K11'!D85,'K11'!D89,'K11'!D92,'K11'!D93,'K11'!D94,'K11'!D95)+30)&lt;100,100,(SUM('K11'!D85,'K11'!D89,'K11'!D92,'K11'!D93,'K11'!D94,'K11'!D95)+30))))</f>
        <v>#NUM!</v>
      </c>
      <c r="D75" s="12" t="e">
        <f>IF(AND('K11'!D96=0,'K11'!D76=0),0,MAX(SUM('K11'!D85,'K11'!D89,'K11'!D92,'K11'!D93,'K11'!D94,'K11'!D95),J31))</f>
        <v>#NUM!</v>
      </c>
      <c r="E75" s="12" t="e">
        <f>IF(AND('K11'!D96=0,'K11'!D76=0),0,MAX(SUM('K11'!D85,'K11'!D89,'K11'!D92,'K11'!D93,'K11'!D94,'K11'!D95)+30,J31))</f>
        <v>#NUM!</v>
      </c>
      <c r="F75" s="12" t="e">
        <f>IF('K11'!D61&lt;18,Grundfreibeträge!B75,Grundfreibeträge!C75)</f>
        <v>#NUM!</v>
      </c>
      <c r="G75" s="12" t="e">
        <f>IF('K11'!D61&lt;18,Grundfreibeträge!D75,Grundfreibeträge!E75)</f>
        <v>#NUM!</v>
      </c>
      <c r="H75" s="12" t="e">
        <f>IF('K11'!D96&lt;1000,0,IF('K11'!D96&gt;=1200,20,ROUND(('K11'!D96-1000)*10%,2)))</f>
        <v>#NUM!</v>
      </c>
    </row>
    <row r="76" spans="1:8" x14ac:dyDescent="0.2">
      <c r="A76" s="23">
        <v>3</v>
      </c>
      <c r="B76" s="12" t="e">
        <f>IF(AND('K11'!E96=0,'K11'!E76=0),0,IF('K11'!E96&lt;=400,100,IF((SUM('K11'!E85,'K11'!E89,'K11'!E92,'K11'!E93,'K11'!E94,'K11'!E95))&lt;100,100,(SUM('K11'!E85,'K11'!E89,'K11'!E92,'K11'!E93,'K11'!E94,'K11'!E95)))))</f>
        <v>#NUM!</v>
      </c>
      <c r="C76" s="12" t="e">
        <f>IF(AND('K11'!E96=0,'K11'!E76=0),0,IF('K11'!E96&lt;=400,100,IF((SUM('K11'!E85,'K11'!E89,'K11'!E92,'K11'!E93,'K11'!E94,'K11'!E95)+30)&lt;100,100,(SUM('K11'!E85,'K11'!E89,'K11'!E92,'K11'!E93,'K11'!E94,'K11'!E95)+30))))</f>
        <v>#NUM!</v>
      </c>
      <c r="D76" s="12" t="e">
        <f>IF(AND('K11'!E96=0,'K11'!E76=0),0,MAX(SUM('K11'!E85,'K11'!E89,'K11'!E92,'K11'!E93,'K11'!E94,'K11'!E95),J32))</f>
        <v>#NUM!</v>
      </c>
      <c r="E76" s="12" t="e">
        <f>IF(AND('K11'!E96=0,'K11'!E76=0),0,MAX(SUM('K11'!E85,'K11'!E89,'K11'!E92,'K11'!E93,'K11'!E94,'K11'!E95)+30,J32))</f>
        <v>#NUM!</v>
      </c>
      <c r="F76" s="12" t="e">
        <f>IF('K11'!E61&lt;18,Grundfreibeträge!B76,Grundfreibeträge!C76)</f>
        <v>#NUM!</v>
      </c>
      <c r="G76" s="12" t="e">
        <f>IF('K11'!E61&lt;18,Grundfreibeträge!D76,Grundfreibeträge!E76)</f>
        <v>#NUM!</v>
      </c>
      <c r="H76" s="12" t="e">
        <f>IF('K11'!E96&lt;1000,0,IF('K11'!E96&gt;=1200,20,ROUND(('K11'!E96-1000)*10%,2)))</f>
        <v>#NUM!</v>
      </c>
    </row>
    <row r="77" spans="1:8" x14ac:dyDescent="0.2">
      <c r="A77" s="23">
        <v>4</v>
      </c>
      <c r="B77" s="15" t="e">
        <f>IF(AND('K11'!F96=0,'K11'!F76=0),0,IF('K11'!F96&lt;=400,100,IF((SUM('K11'!F85,'K11'!F89,'K11'!F92,'K11'!F93,'K11'!F94,'K11'!F95))&lt;100,100,(SUM('K11'!F85,'K11'!F89,'K11'!F92,'K11'!F93,'K11'!F94,'K11'!F95)))))</f>
        <v>#NUM!</v>
      </c>
      <c r="C77" s="12" t="e">
        <f>IF(AND('K11'!F96=0,'K11'!F76=0),0,IF('K11'!F96&lt;=400,100,IF((SUM('K11'!F85,'K11'!F89,'K11'!F92,'K11'!F93,'K11'!F94,'K11'!F95)+30)&lt;100,100,(SUM('K11'!F85,'K11'!F89,'K11'!F92,'K11'!F93,'K11'!F94,'K11'!F95)+30))))</f>
        <v>#NUM!</v>
      </c>
      <c r="D77" s="12" t="e">
        <f>IF(AND('K11'!F96=0,'K11'!F76=0),0,MAX(SUM('K11'!F85,'K11'!F89,'K11'!F92,'K11'!F93,'K11'!F94,'K11'!F95),J33))</f>
        <v>#NUM!</v>
      </c>
      <c r="E77" s="12" t="e">
        <f>IF(AND('K11'!F96=0,'K11'!F76=0),0,MAX(SUM('K11'!F85,'K11'!F89,'K11'!F92,'K11'!F93,'K11'!F94,'K11'!F95)+30,J33))</f>
        <v>#NUM!</v>
      </c>
      <c r="F77" s="12" t="e">
        <f>IF('K11'!F61&lt;18,Grundfreibeträge!B77,Grundfreibeträge!C77)</f>
        <v>#NUM!</v>
      </c>
      <c r="G77" s="12" t="e">
        <f>IF('K11'!F61&lt;18,Grundfreibeträge!D77,Grundfreibeträge!E77)</f>
        <v>#NUM!</v>
      </c>
      <c r="H77" s="12" t="e">
        <f>IF('K11'!F96&lt;1000,0,IF('K11'!F96&gt;=1200,20,ROUND(('K11'!F96-1000)*10%,2)))</f>
        <v>#NUM!</v>
      </c>
    </row>
    <row r="78" spans="1:8" x14ac:dyDescent="0.2">
      <c r="A78" s="23">
        <v>5</v>
      </c>
      <c r="B78" s="12" t="e">
        <f>IF(AND('K11'!G96=0,'K11'!G76=0),0,IF('K11'!G96&lt;=400,100,IF((SUM('K11'!G85,'K11'!G89,'K11'!G92,'K11'!G93,'K11'!G94,'K11'!G95))&lt;100,100,(SUM('K11'!G85,'K11'!G89,'K11'!G92,'K11'!G93,'K11'!G94,'K11'!G95)))))</f>
        <v>#NUM!</v>
      </c>
      <c r="C78" s="12" t="e">
        <f>IF(AND('K11'!G96=0,'K11'!G76=0),0,IF('K11'!G96&lt;=400,100,IF((SUM('K11'!G85,'K11'!G89,'K11'!G92,'K11'!G93,'K11'!G94,'K11'!G95)+30)&lt;100,100,(SUM('K11'!G85,'K11'!G89,'K11'!G92,'K11'!G93,'K11'!G94,'K11'!G95)+30))))</f>
        <v>#NUM!</v>
      </c>
      <c r="D78" s="12" t="e">
        <f>IF(AND('K11'!G96=0,'K11'!G76=0),0,MAX(SUM('K11'!G85,'K11'!G89,'K11'!G92,'K11'!G93,'K11'!G94,'K11'!G95),J34))</f>
        <v>#NUM!</v>
      </c>
      <c r="E78" s="12" t="e">
        <f>IF(AND('K11'!G96=0,'K11'!G76=0),0,MAX(SUM('K11'!G85,'K11'!G89,'K11'!G92,'K11'!G93,'K11'!G94,'K11'!G95)+30,J34))</f>
        <v>#NUM!</v>
      </c>
      <c r="F78" s="12" t="e">
        <f>IF('K11'!G61&lt;18,Grundfreibeträge!B78,Grundfreibeträge!C78)</f>
        <v>#NUM!</v>
      </c>
      <c r="G78" s="12" t="e">
        <f>IF('K11'!G61&lt;18,Grundfreibeträge!D78,Grundfreibeträge!E78)</f>
        <v>#NUM!</v>
      </c>
      <c r="H78" s="12" t="e">
        <f>IF('K11'!G96&lt;1000,0,IF('K11'!G96&gt;=1200,20,ROUND(('K11'!G96-1000)*10%,2)))</f>
        <v>#NUM!</v>
      </c>
    </row>
    <row r="79" spans="1:8" x14ac:dyDescent="0.2">
      <c r="A79" s="23">
        <v>6</v>
      </c>
      <c r="B79" s="12" t="e">
        <f>IF(AND('K11'!H96=0,'K11'!H76=0),0,IF('K11'!H96&lt;=400,100,IF((SUM('K11'!H85,'K11'!H89,'K11'!H92,'K11'!H93,'K11'!H94,'K11'!H95))&lt;100,100,(SUM('K11'!H85,'K11'!H89,'K11'!H92,'K11'!H93,'K11'!H94,'K11'!H95)))))</f>
        <v>#NUM!</v>
      </c>
      <c r="C79" s="12" t="e">
        <f>IF(AND('K11'!H96=0,'K11'!H76=0),0,IF('K11'!H96&lt;=400,100,IF((SUM('K11'!H85,'K11'!H89,'K11'!H92,'K11'!H93,'K11'!H94,'K11'!H95)+30)&lt;100,100,(SUM('K11'!H85,'K11'!H89,'K11'!H92,'K11'!H93,'K11'!H94,'K11'!H95)+30))))</f>
        <v>#NUM!</v>
      </c>
      <c r="D79" s="12" t="e">
        <f>IF(AND('K11'!H96=0,'K11'!H76=0),0,MAX(SUM('K11'!H85,'K11'!H89,'K11'!H92,'K11'!H93,'K11'!H94,'K11'!H95),J35))</f>
        <v>#NUM!</v>
      </c>
      <c r="E79" s="12" t="e">
        <f>IF(AND('K11'!H96=0,'K11'!H76=0),0,MAX(SUM('K11'!H85,'K11'!H89,'K11'!H92,'K11'!H93,'K11'!H94,'K11'!H95)+30,J35))</f>
        <v>#NUM!</v>
      </c>
      <c r="F79" s="12" t="e">
        <f>IF('K11'!H61&lt;18,Grundfreibeträge!B79,Grundfreibeträge!C79)</f>
        <v>#NUM!</v>
      </c>
      <c r="G79" s="12" t="e">
        <f>IF('K11'!H61&lt;18,Grundfreibeträge!D79,Grundfreibeträge!E79)</f>
        <v>#NUM!</v>
      </c>
      <c r="H79" s="12" t="e">
        <f>IF('K11'!H96&lt;1000,0,IF('K11'!H96&gt;=1200,20,ROUND(('K11'!H96-1000)*10%,2)))</f>
        <v>#NUM!</v>
      </c>
    </row>
    <row r="80" spans="1:8" x14ac:dyDescent="0.2">
      <c r="A80" s="23" t="s">
        <v>345</v>
      </c>
      <c r="B80" s="23" t="s">
        <v>248</v>
      </c>
      <c r="C80" s="23" t="s">
        <v>245</v>
      </c>
      <c r="D80" s="23" t="s">
        <v>246</v>
      </c>
      <c r="E80" s="23" t="s">
        <v>247</v>
      </c>
      <c r="F80" s="23" t="s">
        <v>249</v>
      </c>
      <c r="G80" s="23" t="s">
        <v>250</v>
      </c>
    </row>
    <row r="81" spans="1:8" x14ac:dyDescent="0.2">
      <c r="A81" s="23">
        <v>1</v>
      </c>
      <c r="B81" s="12" t="e">
        <f>IF(AND('K12'!C96=0,'K12'!C76=0),0,IF('K12'!C96&lt;=400,100,IF((SUM('K12'!C85,'K12'!C89,'K12'!C92,'K12'!C93,'K12'!C94,'K12'!C95))&lt;100,100,(SUM('K12'!C85,'K12'!C89,'K12'!C92,'K12'!C93,'K12'!C94,'K12'!C95)))))</f>
        <v>#NUM!</v>
      </c>
      <c r="C81" s="12" t="e">
        <f>IF(AND('K12'!C96=0,'K12'!C76=0),0,IF('K12'!C96&lt;=400,100,IF((SUM('K12'!C85,'K12'!C89,'K12'!C92,'K12'!C93,'K12'!C94,'K12'!C95)+30)&lt;100,100,(SUM('K12'!C85,'K12'!C89,'K12'!C92,'K12'!C93,'K12'!C94,'K12'!C95)+30))))</f>
        <v>#NUM!</v>
      </c>
      <c r="D81" s="12" t="e">
        <f>IF(AND('K12'!C96=0,'K12'!C76=0),0,MAX(SUM('K12'!C85,'K12'!C89,'K12'!C92,'K12'!C93,'K12'!C94,'K12'!C95),J30))</f>
        <v>#NUM!</v>
      </c>
      <c r="E81" s="12" t="e">
        <f>IF(AND('K12'!C96=0,'K12'!C76=0),0,MAX(SUM('K12'!C85,'K12'!C89,'K12'!C92,'K12'!C93,'K12'!C94,'K12'!C95)+30,J30))</f>
        <v>#NUM!</v>
      </c>
      <c r="F81" s="12" t="e">
        <f>IF('K12'!C61&lt;18,Grundfreibeträge!B81,Grundfreibeträge!C81)</f>
        <v>#NUM!</v>
      </c>
      <c r="G81" s="12" t="e">
        <f>IF('K12'!C61&lt;18,Grundfreibeträge!D81,Grundfreibeträge!E81)</f>
        <v>#NUM!</v>
      </c>
      <c r="H81" s="12" t="e">
        <f>IF('K12'!C96&lt;1000,0,IF('K12'!C96&gt;=1200,20,ROUND(('K12'!C96-1000)*10%,2)))</f>
        <v>#NUM!</v>
      </c>
    </row>
    <row r="82" spans="1:8" x14ac:dyDescent="0.2">
      <c r="A82" s="23">
        <v>2</v>
      </c>
      <c r="B82" s="12" t="e">
        <f>IF(AND('K12'!D96=0,'K12'!D76=0),0,IF('K12'!D96&lt;=400,100,IF((SUM('K12'!D85,'K12'!D89,'K12'!D92,'K12'!D93,'K12'!D94,'K12'!D95))&lt;100,100,(SUM('K12'!D85,'K12'!D89,'K12'!D92,'K12'!D93,'K12'!D94,'K12'!D95)))))</f>
        <v>#NUM!</v>
      </c>
      <c r="C82" s="12" t="e">
        <f>IF(AND('K12'!D96=0,'K12'!D76=0),0,IF('K12'!D96&lt;=400,100,IF((SUM('K12'!D85,'K12'!D89,'K12'!D92,'K12'!D93,'K12'!D94,'K12'!D95)+30)&lt;100,100,(SUM('K12'!D85,'K12'!D89,'K12'!D92,'K12'!D93,'K12'!D94,'K12'!D95)+30))))</f>
        <v>#NUM!</v>
      </c>
      <c r="D82" s="12" t="e">
        <f>IF(AND('K12'!D96=0,'K12'!D76=0),0,MAX(SUM('K12'!D85,'K12'!D89,'K12'!D92,'K12'!D93,'K12'!D94,'K12'!D95),J31))</f>
        <v>#NUM!</v>
      </c>
      <c r="E82" s="12" t="e">
        <f>IF(AND('K12'!D96=0,'K12'!D76=0),0,MAX(SUM('K12'!D85,'K12'!D89,'K12'!D92,'K12'!D93,'K12'!D94,'K12'!D95)+30,J31))</f>
        <v>#NUM!</v>
      </c>
      <c r="F82" s="12" t="e">
        <f>IF('K12'!D61&lt;18,Grundfreibeträge!B82,Grundfreibeträge!C82)</f>
        <v>#NUM!</v>
      </c>
      <c r="G82" s="12" t="e">
        <f>IF('K12'!D61&lt;18,Grundfreibeträge!D82,Grundfreibeträge!E82)</f>
        <v>#NUM!</v>
      </c>
      <c r="H82" s="12" t="e">
        <f>IF('K12'!D96&lt;1000,0,IF('K12'!D96&gt;=1200,20,ROUND(('K12'!D96-1000)*10%,2)))</f>
        <v>#NUM!</v>
      </c>
    </row>
    <row r="83" spans="1:8" x14ac:dyDescent="0.2">
      <c r="A83" s="23">
        <v>3</v>
      </c>
      <c r="B83" s="12" t="e">
        <f>IF(AND('K12'!E96=0,'K12'!E76=0),0,IF('K12'!E96&lt;=400,100,IF((SUM('K12'!E85,'K12'!E89,'K12'!E92,'K12'!E93,'K12'!E94,'K12'!E95))&lt;100,100,(SUM('K12'!E85,'K12'!E89,'K12'!E92,'K12'!E93,'K12'!E94,'K12'!E95)))))</f>
        <v>#NUM!</v>
      </c>
      <c r="C83" s="12" t="e">
        <f>IF(AND('K12'!E96=0,'K12'!E76=0),0,IF('K12'!E96&lt;=400,100,IF((SUM('K12'!E85,'K12'!E89,'K12'!E92,'K12'!E93,'K12'!E94,'K12'!E95)+30)&lt;100,100,(SUM('K12'!E85,'K12'!E89,'K12'!E92,'K12'!E93,'K12'!E94,'K12'!E95)+30))))</f>
        <v>#NUM!</v>
      </c>
      <c r="D83" s="12" t="e">
        <f>IF(AND('K12'!E96=0,'K12'!E76=0),0,MAX(SUM('K12'!E85,'K12'!E89,'K12'!E92,'K12'!E93,'K12'!E94,'K12'!E95),J32))</f>
        <v>#NUM!</v>
      </c>
      <c r="E83" s="12" t="e">
        <f>IF(AND('K12'!E96=0,'K12'!E76=0),0,MAX(SUM('K12'!E85,'K12'!E89,'K12'!E92,'K12'!E93,'K12'!E94,'K12'!E95)+30,J32))</f>
        <v>#NUM!</v>
      </c>
      <c r="F83" s="12" t="e">
        <f>IF('K12'!E61&lt;18,Grundfreibeträge!B83,Grundfreibeträge!C83)</f>
        <v>#NUM!</v>
      </c>
      <c r="G83" s="12" t="e">
        <f>IF('K12'!E61&lt;18,Grundfreibeträge!D83,Grundfreibeträge!E83)</f>
        <v>#NUM!</v>
      </c>
      <c r="H83" s="12" t="e">
        <f>IF('K12'!E96&lt;1000,0,IF('K12'!E96&gt;=1200,20,ROUND(('K12'!E96-1000)*10%,2)))</f>
        <v>#NUM!</v>
      </c>
    </row>
    <row r="84" spans="1:8" x14ac:dyDescent="0.2">
      <c r="A84" s="23">
        <v>4</v>
      </c>
      <c r="B84" s="12" t="e">
        <f>IF(AND('K12'!F96=0,'K12'!F76=0),0,IF('K12'!F96&lt;=400,100,IF((SUM('K12'!F85,'K12'!F89,'K12'!F92,'K12'!F93,'K12'!F94,'K12'!F95))&lt;100,100,(SUM('K12'!F85,'K12'!F89,'K12'!F92,'K12'!F93,'K12'!F94,'K12'!F95)))))</f>
        <v>#NUM!</v>
      </c>
      <c r="C84" s="12" t="e">
        <f>IF(AND('K12'!F96=0,'K12'!F76=0),0,IF('K12'!F96&lt;=400,100,IF((SUM('K12'!F85,'K12'!F89,'K12'!F92,'K12'!F93,'K12'!F94,'K12'!F95)+30)&lt;100,100,(SUM('K12'!F85,'K12'!F89,'K12'!F92,'K12'!F93,'K12'!F94,'K12'!F95)+30))))</f>
        <v>#NUM!</v>
      </c>
      <c r="D84" s="12" t="e">
        <f>IF(AND('K12'!F96=0,'K12'!F76=0),0,MAX(SUM('K12'!F85,'K12'!F89,'K12'!F92,'K12'!F93,'K12'!F94,'K12'!F95),J33))</f>
        <v>#NUM!</v>
      </c>
      <c r="E84" s="12" t="e">
        <f>IF(AND('K12'!F96=0,'K12'!F76=0),0,MAX(SUM('K12'!F85,'K12'!F89,'K12'!F92,'K12'!F93,'K12'!F94,'K12'!F95)+30,J33))</f>
        <v>#NUM!</v>
      </c>
      <c r="F84" s="12" t="e">
        <f>IF('K12'!F61&lt;18,Grundfreibeträge!B84,Grundfreibeträge!C84)</f>
        <v>#NUM!</v>
      </c>
      <c r="G84" s="12" t="e">
        <f>IF('K12'!F61&lt;18,Grundfreibeträge!D84,Grundfreibeträge!E84)</f>
        <v>#NUM!</v>
      </c>
      <c r="H84" s="12" t="e">
        <f>IF('K12'!F96&lt;1000,0,IF('K12'!F96&gt;=1200,20,ROUND(('K12'!F96-1000)*10%,2)))</f>
        <v>#NUM!</v>
      </c>
    </row>
    <row r="85" spans="1:8" x14ac:dyDescent="0.2">
      <c r="A85" s="23">
        <v>5</v>
      </c>
      <c r="B85" s="12" t="e">
        <f>IF(AND('K12'!G96=0,'K12'!G76=0),0,IF('K12'!G96&lt;=400,100,IF((SUM('K12'!G85,'K12'!G89,'K12'!G92,'K12'!G93,'K12'!G94,'K12'!G95))&lt;100,100,(SUM('K12'!G85,'K12'!G89,'K12'!G92,'K12'!G93,'K12'!G94,'K12'!G95)))))</f>
        <v>#NUM!</v>
      </c>
      <c r="C85" s="12" t="e">
        <f>IF(AND('K12'!G96=0,'K12'!G76=0),0,IF('K12'!G96&lt;=400,100,IF((SUM('K12'!G85,'K12'!G89,'K12'!G92,'K12'!G93,'K12'!G94,'K12'!G95)+30)&lt;100,100,(SUM('K12'!G85,'K12'!G89,'K12'!G92,'K12'!G93,'K12'!G94,'K12'!G95)+30))))</f>
        <v>#NUM!</v>
      </c>
      <c r="D85" s="12" t="e">
        <f>IF(AND('K12'!G96=0,'K12'!G76=0),0,MAX(SUM('K12'!G85,'K12'!G89,'K12'!G92,'K12'!G93,'K12'!G94,'K12'!G95),J34))</f>
        <v>#NUM!</v>
      </c>
      <c r="E85" s="12" t="e">
        <f>IF(AND('K12'!G96=0,'K12'!G76=0),0,MAX(SUM('K12'!G85,'K12'!G89,'K12'!G92,'K12'!G93,'K12'!G94,'K12'!G95)+30,J34))</f>
        <v>#NUM!</v>
      </c>
      <c r="F85" s="12" t="e">
        <f>IF('K12'!G61&lt;18,Grundfreibeträge!B85,Grundfreibeträge!C85)</f>
        <v>#NUM!</v>
      </c>
      <c r="G85" s="12" t="e">
        <f>IF('K12'!G61&lt;18,Grundfreibeträge!D85,Grundfreibeträge!E85)</f>
        <v>#NUM!</v>
      </c>
      <c r="H85" s="12" t="e">
        <f>IF('K12'!G96&lt;1000,0,IF('K12'!G96&gt;=1200,20,ROUND(('K12'!G96-1000)*10%,2)))</f>
        <v>#NUM!</v>
      </c>
    </row>
    <row r="86" spans="1:8" x14ac:dyDescent="0.2">
      <c r="A86" s="23">
        <v>6</v>
      </c>
      <c r="B86" s="12" t="e">
        <f>IF(AND('K12'!H96=0,'K12'!H76=0),0,IF('K12'!H96&lt;=400,100,IF((SUM('K12'!H85,'K12'!H89,'K12'!H92,'K12'!H93,'K12'!H94,'K12'!H95))&lt;100,100,(SUM('K12'!H85,'K12'!H89,'K12'!H92,'K12'!H93,'K12'!H94,'K12'!H95)))))</f>
        <v>#NUM!</v>
      </c>
      <c r="C86" s="12" t="e">
        <f>IF(AND('K12'!H96=0,'K12'!H76=0),0,IF('K12'!H96&lt;=400,100,IF((SUM('K12'!H85,'K12'!H89,'K12'!H92,'K12'!H93,'K12'!H94,'K12'!H95)+30)&lt;100,100,(SUM('K12'!H85,'K12'!H89,'K12'!H92,'K12'!H93,'K12'!H94,'K12'!H95)+30))))</f>
        <v>#NUM!</v>
      </c>
      <c r="D86" s="12" t="e">
        <f>IF(AND('K12'!H96=0,'K12'!H76=0),0,MAX(SUM('K12'!H85,'K12'!H89,'K12'!H92,'K12'!H93,'K12'!H94,'K12'!H95),J35))</f>
        <v>#NUM!</v>
      </c>
      <c r="E86" s="12" t="e">
        <f>IF(AND('K12'!H96=0,'K12'!H76=0),0,MAX(SUM('K12'!H85,'K12'!H89,'K12'!H92,'K12'!H93,'K12'!H94,'K12'!H95)+30,J35))</f>
        <v>#NUM!</v>
      </c>
      <c r="F86" s="12" t="e">
        <f>IF('K12'!H61&lt;18,Grundfreibeträge!B86,Grundfreibeträge!C86)</f>
        <v>#NUM!</v>
      </c>
      <c r="G86" s="12" t="e">
        <f>IF('K12'!H61&lt;18,Grundfreibeträge!D86,Grundfreibeträge!E86)</f>
        <v>#NUM!</v>
      </c>
      <c r="H86" s="12" t="e">
        <f>IF('K12'!H96&lt;1000,0,IF('K12'!H96&gt;=1200,20,ROUND(('K12'!H96-1000)*10%,2)))</f>
        <v>#NUM!</v>
      </c>
    </row>
    <row r="87" spans="1:8" x14ac:dyDescent="0.2">
      <c r="A87" s="23" t="s">
        <v>378</v>
      </c>
      <c r="B87" s="23" t="s">
        <v>248</v>
      </c>
      <c r="C87" s="23" t="s">
        <v>245</v>
      </c>
      <c r="D87" s="23" t="s">
        <v>246</v>
      </c>
      <c r="E87" s="23" t="s">
        <v>247</v>
      </c>
      <c r="F87" s="23" t="s">
        <v>249</v>
      </c>
      <c r="G87" s="23" t="s">
        <v>250</v>
      </c>
    </row>
    <row r="88" spans="1:8" x14ac:dyDescent="0.2">
      <c r="A88" s="23">
        <v>1</v>
      </c>
      <c r="B88" s="12" t="e">
        <f>IF(AND('K13'!C96=0,'K13'!C76=0),0,IF('K13'!C96&lt;=400,100,IF((SUM('K13'!C85,'K13'!C89,'K13'!C92,'K13'!C93,'K13'!C94,'K13'!C95))&lt;100,100,(SUM('K13'!C85,'K13'!C89,'K13'!C92,'K13'!C93,'K13'!C94,'K13'!C95)))))</f>
        <v>#NUM!</v>
      </c>
      <c r="C88" s="12" t="e">
        <f>IF(AND('K13'!C96=0,'K13'!C76=0),0,IF('K13'!C96&lt;=400,100,IF((SUM('K13'!C85,'K13'!C89,'K13'!C92,'K13'!C93,'K13'!C94,'K13'!C95)+30)&lt;100,100,(SUM('K13'!C85,'K13'!C89,'K13'!C92,'K13'!C93,'K13'!C94,'K13'!C95)+30))))</f>
        <v>#NUM!</v>
      </c>
      <c r="D88" s="12" t="e">
        <f>IF(AND('K13'!C96=0,'K13'!C76=0),0,MAX(SUM('K13'!C85,'K13'!C89,'K13'!C92,'K13'!C93,'K13'!C94,'K13'!C95),J30))</f>
        <v>#NUM!</v>
      </c>
      <c r="E88" s="12" t="e">
        <f>IF(AND('K13'!C96=0,'K13'!C76=0),0,MAX(SUM('K13'!C85,'K13'!C89,'K13'!C92,'K13'!C93,'K13'!C94,'K13'!C95)+30,J30))</f>
        <v>#NUM!</v>
      </c>
      <c r="F88" s="12" t="e">
        <f>IF('K13'!C61&lt;18,Grundfreibeträge!B88,Grundfreibeträge!C88)</f>
        <v>#NUM!</v>
      </c>
      <c r="G88" s="12" t="e">
        <f>IF('K13'!C61&lt;18,Grundfreibeträge!D88,Grundfreibeträge!E88)</f>
        <v>#NUM!</v>
      </c>
      <c r="H88" s="12" t="e">
        <f>IF('K13'!C96&lt;1000,0,IF('K13'!C96&gt;=1200,20,ROUND(('K13'!C96-1000)*10%,2)))</f>
        <v>#NUM!</v>
      </c>
    </row>
    <row r="89" spans="1:8" x14ac:dyDescent="0.2">
      <c r="A89" s="23">
        <v>2</v>
      </c>
      <c r="B89" s="12" t="e">
        <f>IF(AND('K13'!D96=0,'K13'!D76=0),0,IF('K13'!D96&lt;=400,100,IF((SUM('K13'!D85,'K13'!D89,'K13'!D92,'K13'!D93,'K13'!D94,'K13'!D95))&lt;100,100,(SUM('K13'!D85,'K13'!D89,'K13'!D92,'K13'!D93,'K13'!D94,'K13'!D95)))))</f>
        <v>#NUM!</v>
      </c>
      <c r="C89" s="12" t="e">
        <f>IF(AND('K13'!D96=0,'K13'!D76=0),0,IF('K13'!D96&lt;=400,100,IF((SUM('K13'!D85,'K13'!D89,'K13'!D92,'K13'!D93,'K13'!D94,'K13'!D95)+30)&lt;100,100,(SUM('K13'!D85,'K13'!D89,'K13'!D92,'K13'!D93,'K13'!D94,'K13'!D95)+30))))</f>
        <v>#NUM!</v>
      </c>
      <c r="D89" s="12" t="e">
        <f>IF(AND('K13'!D96=0,'K13'!D76=0),0,MAX(SUM('K13'!D85,'K13'!D89,'K13'!D92,'K13'!D93,'K13'!D94,'K13'!D95),J31))</f>
        <v>#NUM!</v>
      </c>
      <c r="E89" s="12" t="e">
        <f>IF(AND('K13'!D96=0,'K13'!D76=0),0,MAX(SUM('K13'!D85,'K13'!D89,'K13'!D92,'K13'!D93,'K13'!D94,'K13'!D95)+30,J31))</f>
        <v>#NUM!</v>
      </c>
      <c r="F89" s="12" t="e">
        <f>IF('K13'!D61&lt;18,Grundfreibeträge!B89,Grundfreibeträge!C89)</f>
        <v>#NUM!</v>
      </c>
      <c r="G89" s="12" t="e">
        <f>IF('K13'!D61&lt;18,Grundfreibeträge!D89,Grundfreibeträge!E89)</f>
        <v>#NUM!</v>
      </c>
      <c r="H89" s="12" t="e">
        <f>IF('K13'!D96&lt;1000,0,IF('K13'!D96&gt;=1200,20,ROUND(('K13'!D96-1000)*10%,2)))</f>
        <v>#NUM!</v>
      </c>
    </row>
    <row r="90" spans="1:8" x14ac:dyDescent="0.2">
      <c r="A90" s="23">
        <v>3</v>
      </c>
      <c r="B90" s="12" t="e">
        <f>IF(AND('K13'!E96=0,'K13'!E76=0),0,IF('K13'!E96&lt;=400,100,IF((SUM('K13'!E85,'K13'!E89,'K13'!E92,'K13'!E93,'K13'!E94,'K13'!E95))&lt;100,100,(SUM('K13'!E85,'K13'!E89,'K13'!E92,'K13'!E93,'K13'!E94,'K13'!E95)))))</f>
        <v>#NUM!</v>
      </c>
      <c r="C90" s="12" t="e">
        <f>IF(AND('K13'!E96=0,'K13'!E76=0),0,IF('K13'!E96&lt;=400,100,IF((SUM('K13'!E85,'K13'!E89,'K13'!E92,'K13'!E93,'K13'!E94,'K13'!E95)+30)&lt;100,100,(SUM('K13'!E85,'K13'!E89,'K13'!E92,'K13'!E93,'K13'!E94,'K13'!E95)+30))))</f>
        <v>#NUM!</v>
      </c>
      <c r="D90" s="12" t="e">
        <f>IF(AND('K13'!E96=0,'K13'!E76=0),0,MAX(SUM('K13'!E85,'K13'!E89,'K13'!E92,'K13'!E93,'K13'!E94,'K13'!E95),J32))</f>
        <v>#NUM!</v>
      </c>
      <c r="E90" s="12" t="e">
        <f>IF(AND('K13'!E96=0,'K13'!E76=0),0,MAX(SUM('K13'!E85,'K13'!E89,'K13'!E92,'K13'!E93,'K13'!E94,'K13'!E95)+30,J32))</f>
        <v>#NUM!</v>
      </c>
      <c r="F90" s="12" t="e">
        <f>IF('K13'!E61&lt;18,Grundfreibeträge!B90,Grundfreibeträge!C90)</f>
        <v>#NUM!</v>
      </c>
      <c r="G90" s="12" t="e">
        <f>IF('K13'!E61&lt;18,Grundfreibeträge!D90,Grundfreibeträge!E90)</f>
        <v>#NUM!</v>
      </c>
      <c r="H90" s="12" t="e">
        <f>IF('K13'!E96&lt;1000,0,IF('K13'!E96&gt;=1200,20,ROUND(('K13'!E96-1000)*10%,2)))</f>
        <v>#NUM!</v>
      </c>
    </row>
    <row r="91" spans="1:8" x14ac:dyDescent="0.2">
      <c r="A91" s="23">
        <v>4</v>
      </c>
      <c r="B91" s="12" t="e">
        <f>IF(AND('K13'!F96=0,'K13'!F76=0),0,IF('K13'!F96&lt;=400,100,IF((SUM('K13'!F85,'K13'!F89,'K13'!F92,'K13'!F93,'K13'!F94,'K13'!F95))&lt;100,100,(SUM('K13'!F85,'K13'!F89,'K13'!F92,'K13'!F93,'K13'!F94,'K13'!F95)))))</f>
        <v>#NUM!</v>
      </c>
      <c r="C91" s="12" t="e">
        <f>IF(AND('K13'!F96=0,'K13'!F76=0),0,IF('K13'!F96&lt;=400,100,IF((SUM('K13'!F85,'K13'!F89,'K13'!F92,'K13'!F93,'K13'!F94,'K13'!F95)+30)&lt;100,100,(SUM('K13'!F85,'K13'!F89,'K13'!F92,'K13'!F93,'K13'!F94,'K13'!F95)+30))))</f>
        <v>#NUM!</v>
      </c>
      <c r="D91" s="12" t="e">
        <f>IF(AND('K13'!F96=0,'K13'!F76=0),0,MAX(SUM('K13'!F85,'K13'!F89,'K13'!F92,'K13'!F93,'K13'!F94,'K13'!F95),J33))</f>
        <v>#NUM!</v>
      </c>
      <c r="E91" s="12" t="e">
        <f>IF(AND('K13'!F96=0,'K13'!F76=0),0,MAX(SUM('K13'!F85,'K13'!F89,'K13'!F92,'K13'!F93,'K13'!F94,'K13'!F95)+30,J33))</f>
        <v>#NUM!</v>
      </c>
      <c r="F91" s="12" t="e">
        <f>IF('K13'!F61&lt;18,Grundfreibeträge!B91,Grundfreibeträge!C91)</f>
        <v>#NUM!</v>
      </c>
      <c r="G91" s="12" t="e">
        <f>IF('K13'!F61&lt;18,Grundfreibeträge!D91,Grundfreibeträge!E91)</f>
        <v>#NUM!</v>
      </c>
      <c r="H91" s="12" t="e">
        <f>IF('K13'!F96&lt;1000,0,IF('K13'!F96&gt;=1200,20,ROUND(('K13'!F96-1000)*10%,2)))</f>
        <v>#NUM!</v>
      </c>
    </row>
    <row r="92" spans="1:8" x14ac:dyDescent="0.2">
      <c r="A92" s="23">
        <v>5</v>
      </c>
      <c r="B92" s="12" t="e">
        <f>IF(AND('K13'!G96=0,'K13'!G76=0),0,IF('K13'!G96&lt;=400,100,IF((SUM('K13'!G85,'K13'!G89,'K13'!G92,'K13'!G93,'K13'!G94,'K13'!G95))&lt;100,100,(SUM('K13'!G85,'K13'!G89,'K13'!G92,'K13'!G93,'K13'!G94,'K13'!G95)))))</f>
        <v>#NUM!</v>
      </c>
      <c r="C92" s="12" t="e">
        <f>IF(AND('K13'!G96=0,'K13'!G76=0),0,IF('K13'!G96&lt;=400,100,IF((SUM('K13'!G85,'K13'!G89,'K13'!G92,'K13'!G93,'K13'!G94,'K13'!G95)+30)&lt;100,100,(SUM('K13'!G85,'K13'!G89,'K13'!G92,'K13'!G93,'K13'!G94,'K13'!G95)+30))))</f>
        <v>#NUM!</v>
      </c>
      <c r="D92" s="12" t="e">
        <f>IF(AND('K13'!G96=0,'K13'!G76=0),0,MAX(SUM('K13'!G85,'K13'!G89,'K13'!G92,'K13'!G93,'K13'!G94,'K13'!G95),J34))</f>
        <v>#NUM!</v>
      </c>
      <c r="E92" s="12" t="e">
        <f>IF(AND('K13'!G96=0,'K13'!G76=0),0,MAX(SUM('K13'!G85,'K13'!G89,'K13'!G92,'K13'!G93,'K13'!G94,'K13'!G95)+30,J34))</f>
        <v>#NUM!</v>
      </c>
      <c r="F92" s="12" t="e">
        <f>IF('K13'!G61&lt;18,Grundfreibeträge!B92,Grundfreibeträge!C92)</f>
        <v>#NUM!</v>
      </c>
      <c r="G92" s="12" t="e">
        <f>IF('K13'!G61&lt;18,Grundfreibeträge!D92,Grundfreibeträge!E92)</f>
        <v>#NUM!</v>
      </c>
      <c r="H92" s="12" t="e">
        <f>IF('K13'!G96&lt;1000,0,IF('K13'!G96&gt;=1200,20,ROUND(('K13'!G96-1000)*10%,2)))</f>
        <v>#NUM!</v>
      </c>
    </row>
    <row r="93" spans="1:8" x14ac:dyDescent="0.2">
      <c r="A93" s="23">
        <v>6</v>
      </c>
      <c r="B93" s="12" t="e">
        <f>IF(AND('K13'!H96=0,'K13'!H76=0),0,IF('K13'!H96&lt;=400,100,IF((SUM('K13'!H85,'K13'!H89,'K13'!H92,'K13'!H93,'K13'!H94,'K13'!H95))&lt;100,100,(SUM('K13'!H85,'K13'!H89,'K13'!H92,'K13'!H93,'K13'!H94,'K13'!H95)))))</f>
        <v>#NUM!</v>
      </c>
      <c r="C93" s="12" t="e">
        <f>IF(AND('K13'!H96=0,'K13'!H76=0),0,IF('K13'!H96&lt;=400,100,IF((SUM('K13'!H85,'K13'!H89,'K13'!H92,'K13'!H93,'K13'!H94,'K13'!H95)+30)&lt;100,100,(SUM('K13'!H85,'K13'!H89,'K13'!H92,'K13'!H93,'K13'!H94,'K13'!H95)+30))))</f>
        <v>#NUM!</v>
      </c>
      <c r="D93" s="12" t="e">
        <f>IF(AND('K13'!H96=0,'K13'!H76=0),0,MAX(SUM('K13'!H85,'K13'!H89,'K13'!H92,'K13'!H93,'K13'!H94,'K13'!H95),J35))</f>
        <v>#NUM!</v>
      </c>
      <c r="E93" s="12" t="e">
        <f>IF(AND('K13'!H96=0,'K13'!H76=0),0,MAX(SUM('K13'!H85,'K13'!H89,'K13'!H92,'K13'!H93,'K13'!H94,'K13'!H95)+30,J35))</f>
        <v>#NUM!</v>
      </c>
      <c r="F93" s="12" t="e">
        <f>IF('K13'!H61&lt;18,Grundfreibeträge!B93,Grundfreibeträge!C93)</f>
        <v>#NUM!</v>
      </c>
      <c r="G93" s="12" t="e">
        <f>IF('K13'!H61&lt;18,Grundfreibeträge!D93,Grundfreibeträge!E93)</f>
        <v>#NUM!</v>
      </c>
      <c r="H93" s="12" t="e">
        <f>IF('K13'!H96&lt;1000,0,IF('K13'!H96&gt;=1200,20,ROUND(('K13'!H96-1000)*10%,2)))</f>
        <v>#NUM!</v>
      </c>
    </row>
    <row r="94" spans="1:8" x14ac:dyDescent="0.2">
      <c r="A94" s="23" t="s">
        <v>379</v>
      </c>
      <c r="B94" s="23" t="s">
        <v>248</v>
      </c>
      <c r="C94" s="23" t="s">
        <v>245</v>
      </c>
      <c r="D94" s="23" t="s">
        <v>246</v>
      </c>
      <c r="E94" s="23" t="s">
        <v>247</v>
      </c>
      <c r="F94" s="23" t="s">
        <v>249</v>
      </c>
      <c r="G94" s="23" t="s">
        <v>250</v>
      </c>
    </row>
    <row r="95" spans="1:8" x14ac:dyDescent="0.2">
      <c r="A95" s="23">
        <v>1</v>
      </c>
      <c r="B95" s="12" t="e">
        <f>IF(AND('K14'!C96=0,'K14'!C76=0),0,IF('K14'!C96&lt;=400,100,IF((SUM('K14'!C85,'K14'!C89,'K14'!C92,'K14'!C93,'K14'!C94,'K14'!C95))&lt;100,100,(SUM('K14'!C85,'K14'!C89,'K14'!C92,'K14'!C93,'K14'!C94,'K14'!C95)))))</f>
        <v>#NUM!</v>
      </c>
      <c r="C95" s="12" t="e">
        <f>IF(AND('K14'!C96=0,'K14'!C76=0),0,IF('K14'!C96&lt;=400,100,IF((SUM('K14'!C85,'K14'!C89,'K14'!C92,'K14'!C93,'K14'!C94,'K14'!C95)+30)&lt;100,100,(SUM('K14'!C85,'K14'!C89,'K14'!C92,'K14'!C93,'K14'!C94,'K14'!C95)+30))))</f>
        <v>#NUM!</v>
      </c>
      <c r="D95" s="12" t="e">
        <f>IF(AND('K14'!C96=0,'K14'!C76=0),0,MAX(SUM('K14'!C85,'K14'!C89,'K14'!C92,'K14'!C93,'K14'!C94,'K14'!C95),J30))</f>
        <v>#NUM!</v>
      </c>
      <c r="E95" s="12" t="e">
        <f>IF(AND('K14'!C96=0,'K14'!C76=0),0,MAX(SUM('K14'!C85,'K14'!C89,'K14'!C92,'K14'!C93,'K14'!C94,'K14'!C95)+30,J30))</f>
        <v>#NUM!</v>
      </c>
      <c r="F95" s="12" t="e">
        <f>IF('K14'!C61&lt;18,Grundfreibeträge!B95,Grundfreibeträge!C95)</f>
        <v>#NUM!</v>
      </c>
      <c r="G95" s="12" t="e">
        <f>IF('K14'!C61&lt;18,Grundfreibeträge!D95,Grundfreibeträge!E95)</f>
        <v>#NUM!</v>
      </c>
      <c r="H95" s="12" t="e">
        <f>IF('K14'!C96&lt;1000,0,IF('K14'!C96&gt;=1200,20,ROUND(('K14'!C96-1000)*10%,2)))</f>
        <v>#NUM!</v>
      </c>
    </row>
    <row r="96" spans="1:8" x14ac:dyDescent="0.2">
      <c r="A96" s="23">
        <v>2</v>
      </c>
      <c r="B96" s="12" t="e">
        <f>IF(AND('K14'!D96=0,'K14'!D76=0),0,IF('K14'!D96&lt;=400,100,IF((SUM('K14'!D85,'K14'!D89,'K14'!D92,'K14'!D93,'K14'!D94,'K14'!D95))&lt;100,100,(SUM('K14'!D85,'K14'!D89,'K14'!D92,'K14'!D93,'K14'!D94,'K14'!D95)))))</f>
        <v>#NUM!</v>
      </c>
      <c r="C96" s="12" t="e">
        <f>IF(AND('K14'!D96=0,'K14'!D76=0),0,IF('K14'!D96&lt;=400,100,IF((SUM('K14'!D85,'K14'!D89,'K14'!D92,'K14'!D93,'K14'!D94,'K14'!D95)+30)&lt;100,100,(SUM('K14'!D85,'K14'!D89,'K14'!D92,'K14'!D93,'K14'!D94,'K14'!D95)+30))))</f>
        <v>#NUM!</v>
      </c>
      <c r="D96" s="12" t="e">
        <f>IF(AND('K14'!D96=0,'K14'!D76=0),0,MAX(SUM('K14'!D85,'K14'!D89,'K14'!D92,'K14'!D93,'K14'!D94,'K14'!D95),J31))</f>
        <v>#NUM!</v>
      </c>
      <c r="E96" s="12" t="e">
        <f>IF(AND('K14'!D96=0,'K14'!D76=0),0,MAX(SUM('K14'!D85,'K14'!D89,'K14'!D92,'K14'!D93,'K14'!D94,'K14'!D95)+30,J31))</f>
        <v>#NUM!</v>
      </c>
      <c r="F96" s="12" t="e">
        <f>IF('K14'!D61&lt;18,Grundfreibeträge!B96,Grundfreibeträge!C96)</f>
        <v>#NUM!</v>
      </c>
      <c r="G96" s="12" t="e">
        <f>IF('K14'!D61&lt;18,Grundfreibeträge!D96,Grundfreibeträge!E96)</f>
        <v>#NUM!</v>
      </c>
      <c r="H96" s="12" t="e">
        <f>IF('K14'!D96&lt;1000,0,IF('K14'!D96&gt;=1200,20,ROUND(('K14'!D96-1000)*10%,2)))</f>
        <v>#NUM!</v>
      </c>
    </row>
    <row r="97" spans="1:8" x14ac:dyDescent="0.2">
      <c r="A97" s="23">
        <v>3</v>
      </c>
      <c r="B97" s="12" t="e">
        <f>IF(AND('K14'!E96=0,'K14'!E76=0),0,IF('K14'!E96&lt;=400,100,IF((SUM('K14'!E85,'K14'!E89,'K14'!E92,'K14'!E93,'K14'!E94,'K14'!E95))&lt;100,100,(SUM('K14'!E85,'K14'!E89,'K14'!E92,'K14'!E93,'K14'!E94,'K14'!E95)))))</f>
        <v>#NUM!</v>
      </c>
      <c r="C97" s="12" t="e">
        <f>IF(AND('K14'!E96=0,'K14'!E76=0),0,IF('K14'!E96&lt;=400,100,IF((SUM('K14'!E85,'K14'!E89,'K14'!E92,'K14'!E93,'K14'!E94,'K14'!E95)+30)&lt;100,100,(SUM('K14'!E85,'K14'!E89,'K14'!E92,'K14'!E93,'K14'!E94,'K14'!E95)+30))))</f>
        <v>#NUM!</v>
      </c>
      <c r="D97" s="12" t="e">
        <f>IF(AND('K14'!E96=0,'K14'!E76=0),0,MAX(SUM('K14'!E85,'K14'!E89,'K14'!E92,'K14'!E93,'K14'!E94,'K14'!E95),J32))</f>
        <v>#NUM!</v>
      </c>
      <c r="E97" s="12" t="e">
        <f>IF(AND('K14'!E96=0,'K14'!E76=0),0,MAX(SUM('K14'!E85,'K14'!E89,'K14'!E92,'K14'!E93,'K14'!E94,'K14'!E95)+30,J32))</f>
        <v>#NUM!</v>
      </c>
      <c r="F97" s="12" t="e">
        <f>IF('K14'!E61&lt;18,Grundfreibeträge!B97,Grundfreibeträge!C97)</f>
        <v>#NUM!</v>
      </c>
      <c r="G97" s="12" t="e">
        <f>IF('K14'!E61&lt;18,Grundfreibeträge!D97,Grundfreibeträge!E97)</f>
        <v>#NUM!</v>
      </c>
      <c r="H97" s="12" t="e">
        <f>IF('K14'!E96&lt;1000,0,IF('K14'!E96&gt;=1200,20,ROUND(('K14'!E96-1000)*10%,2)))</f>
        <v>#NUM!</v>
      </c>
    </row>
    <row r="98" spans="1:8" x14ac:dyDescent="0.2">
      <c r="A98" s="23">
        <v>4</v>
      </c>
      <c r="B98" s="12" t="e">
        <f>IF(AND('K14'!F96=0,'K14'!F76=0),0,IF('K14'!F96&lt;=400,100,IF((SUM('K14'!F85,'K14'!F89,'K14'!F92,'K14'!F93,'K14'!F94,'K14'!F95))&lt;100,100,(SUM('K14'!F85,'K14'!F89,'K14'!F92,'K14'!F93,'K14'!F94,'K14'!F95)))))</f>
        <v>#NUM!</v>
      </c>
      <c r="C98" s="12" t="e">
        <f>IF(AND('K14'!F96=0,'K14'!F76=0),0,IF('K14'!F96&lt;=400,100,IF((SUM('K14'!F85,'K14'!F89,'K14'!F92,'K14'!F93,'K14'!F94,'K14'!F95)+30)&lt;100,100,(SUM('K14'!F85,'K14'!F89,'K14'!F92,'K14'!F93,'K14'!F94,'K14'!F95)+30))))</f>
        <v>#NUM!</v>
      </c>
      <c r="D98" s="12" t="e">
        <f>IF(AND('K14'!F96=0,'K14'!F76=0),0,MAX(SUM('K14'!F85,'K14'!F89,'K14'!F92,'K14'!F93,'K14'!F94,'K14'!F95),J33))</f>
        <v>#NUM!</v>
      </c>
      <c r="E98" s="12" t="e">
        <f>IF(AND('K14'!F96=0,'K14'!F76=0),0,MAX(SUM('K14'!F85,'K14'!F89,'K14'!F92,'K14'!F93,'K14'!F94,'K14'!F95)+30,J33))</f>
        <v>#NUM!</v>
      </c>
      <c r="F98" s="12" t="e">
        <f>IF('K14'!F61&lt;18,Grundfreibeträge!B98,Grundfreibeträge!C98)</f>
        <v>#NUM!</v>
      </c>
      <c r="G98" s="12" t="e">
        <f>IF('K14'!F61&lt;18,Grundfreibeträge!D98,Grundfreibeträge!E98)</f>
        <v>#NUM!</v>
      </c>
      <c r="H98" s="12" t="e">
        <f>IF('K14'!F96&lt;1000,0,IF('K14'!F96&gt;=1200,20,ROUND(('K14'!F96-1000)*10%,2)))</f>
        <v>#NUM!</v>
      </c>
    </row>
    <row r="99" spans="1:8" x14ac:dyDescent="0.2">
      <c r="A99" s="23">
        <v>5</v>
      </c>
      <c r="B99" s="12" t="e">
        <f>IF(AND('K14'!G96=0,'K14'!G76=0),0,IF('K14'!G96&lt;=400,100,IF((SUM('K14'!G85,'K14'!G89,'K14'!G92,'K14'!G93,'K14'!G94,'K14'!G95))&lt;100,100,(SUM('K14'!G85,'K14'!G89,'K14'!G92,'K14'!G93,'K14'!G94,'K14'!G95)))))</f>
        <v>#NUM!</v>
      </c>
      <c r="C99" s="12" t="e">
        <f>IF(AND('K14'!G96=0,'K14'!G76=0),0,IF('K14'!G96&lt;=400,100,IF((SUM('K14'!G85,'K14'!G89,'K14'!G92,'K14'!G93,'K14'!G94,'K14'!G95)+30)&lt;100,100,(SUM('K14'!G85,'K14'!G89,'K14'!G92,'K14'!G93,'K14'!G94,'K14'!G95)+30))))</f>
        <v>#NUM!</v>
      </c>
      <c r="D99" s="12" t="e">
        <f>IF(AND('K14'!G96=0,'K14'!G76=0),0,MAX(SUM('K14'!G85,'K14'!G89,'K14'!G92,'K14'!G93,'K14'!G94,'K14'!G95),J34))</f>
        <v>#NUM!</v>
      </c>
      <c r="E99" s="12" t="e">
        <f>IF(AND('K14'!G96=0,'K14'!G76=0),0,MAX(SUM('K14'!G85,'K14'!G89,'K14'!G92,'K14'!G93,'K14'!G94,'K14'!G95)+30,J34))</f>
        <v>#NUM!</v>
      </c>
      <c r="F99" s="12" t="e">
        <f>IF('K14'!G61&lt;18,Grundfreibeträge!B99,Grundfreibeträge!C99)</f>
        <v>#NUM!</v>
      </c>
      <c r="G99" s="12" t="e">
        <f>IF('K14'!G61&lt;18,Grundfreibeträge!D99,Grundfreibeträge!E99)</f>
        <v>#NUM!</v>
      </c>
      <c r="H99" s="12" t="e">
        <f>IF('K14'!G96&lt;1000,0,IF('K14'!G96&gt;=1200,20,ROUND(('K14'!G96-1000)*10%,2)))</f>
        <v>#NUM!</v>
      </c>
    </row>
    <row r="100" spans="1:8" x14ac:dyDescent="0.2">
      <c r="A100" s="23">
        <v>6</v>
      </c>
      <c r="B100" s="12" t="e">
        <f>IF(AND('K14'!H96=0,'K14'!H76=0),0,IF('K14'!H96&lt;=400,100,IF((SUM('K14'!H85,'K14'!H89,'K14'!H92,'K14'!H93,'K14'!H94,'K14'!H95))&lt;100,100,(SUM('K14'!H85,'K14'!H89,'K14'!H92,'K14'!H93,'K14'!H94,'K14'!H95)))))</f>
        <v>#NUM!</v>
      </c>
      <c r="C100" s="12" t="e">
        <f>IF(AND('K14'!H96=0,'K14'!H76=0),0,IF('K14'!H96&lt;=400,100,IF((SUM('K14'!H85,'K14'!H89,'K14'!H92,'K14'!H93,'K14'!H94,'K14'!H95)+30)&lt;100,100,(SUM('K14'!H85,'K14'!H89,'K14'!H92,'K14'!H93,'K14'!H94,'K14'!H95)+30))))</f>
        <v>#NUM!</v>
      </c>
      <c r="D100" s="12" t="e">
        <f>IF(AND('K14'!H96=0,'K14'!H76=0),0,MAX(SUM('K14'!H85,'K14'!H89,'K14'!H92,'K14'!H93,'K14'!H94,'K14'!H95),J35))</f>
        <v>#NUM!</v>
      </c>
      <c r="E100" s="12" t="e">
        <f>IF(AND('K14'!H96=0,'K14'!H76=0),0,MAX(SUM('K14'!H85,'K14'!H89,'K14'!H92,'K14'!H93,'K14'!H94,'K14'!H95)+30,J35))</f>
        <v>#NUM!</v>
      </c>
      <c r="F100" s="12" t="e">
        <f>IF('K14'!H61&lt;18,Grundfreibeträge!B100,Grundfreibeträge!C100)</f>
        <v>#NUM!</v>
      </c>
      <c r="G100" s="12" t="e">
        <f>IF('K14'!H61&lt;18,Grundfreibeträge!D100,Grundfreibeträge!E100)</f>
        <v>#NUM!</v>
      </c>
      <c r="H100" s="12" t="e">
        <f>IF('K14'!H96&lt;1000,0,IF('K14'!H96&gt;=1200,20,ROUND(('K14'!H96-1000)*10%,2)))</f>
        <v>#NUM!</v>
      </c>
    </row>
    <row r="101" spans="1:8" x14ac:dyDescent="0.2">
      <c r="A101" s="23" t="s">
        <v>380</v>
      </c>
      <c r="B101" s="23" t="s">
        <v>248</v>
      </c>
      <c r="C101" s="23" t="s">
        <v>245</v>
      </c>
      <c r="D101" s="23" t="s">
        <v>246</v>
      </c>
      <c r="E101" s="23" t="s">
        <v>247</v>
      </c>
      <c r="F101" s="23" t="s">
        <v>249</v>
      </c>
      <c r="G101" s="23" t="s">
        <v>250</v>
      </c>
    </row>
    <row r="102" spans="1:8" x14ac:dyDescent="0.2">
      <c r="A102" s="23">
        <v>1</v>
      </c>
      <c r="B102" s="12" t="e">
        <f>IF(AND('K15'!C96=0,'K15'!C76=0),0,IF('K15'!C96&lt;=400,100,IF((SUM('K15'!C85,'K15'!C89,'K15'!C92,'K15'!C93,'K15'!C94,'K15'!C95))&lt;100,100,(SUM('K15'!C85,'K15'!C89,'K15'!C92,'K15'!C93,'K15'!C94,'K15'!C95)))))</f>
        <v>#NUM!</v>
      </c>
      <c r="C102" s="12" t="e">
        <f>IF(AND('K15'!C96=0,'K15'!C76=0),0,IF('K15'!C96&lt;=400,100,IF((SUM('K15'!C85,'K15'!C89,'K15'!C92,'K15'!C93,'K15'!C94,'K15'!C95)+30)&lt;100,100,(SUM('K15'!C85,'K15'!C89,'K15'!C92,'K15'!C93,'K15'!C94,'K15'!C95)+30))))</f>
        <v>#NUM!</v>
      </c>
      <c r="D102" s="12" t="e">
        <f>IF(AND('K15'!C96=0,'K15'!C76=0),0,MAX(SUM('K15'!C85,'K15'!C89,'K15'!C92,'K15'!C93,'K15'!C94,'K15'!C95),J30))</f>
        <v>#NUM!</v>
      </c>
      <c r="E102" s="12" t="e">
        <f>IF(AND('K15'!C96=0,'K15'!C76=0),0,MAX(SUM('K15'!C85,'K15'!C89,'K15'!C92,'K15'!C93,'K15'!C94,'K15'!C95)+30,J30))</f>
        <v>#NUM!</v>
      </c>
      <c r="F102" s="12" t="e">
        <f>IF('K15'!C61&lt;18,Grundfreibeträge!B102,Grundfreibeträge!C102)</f>
        <v>#NUM!</v>
      </c>
      <c r="G102" s="12" t="e">
        <f>IF('K15'!C61&lt;18,Grundfreibeträge!D102,Grundfreibeträge!E102)</f>
        <v>#NUM!</v>
      </c>
      <c r="H102" s="12" t="e">
        <f>IF('K15'!C96&lt;1000,0,IF('K15'!C96&gt;=1200,20,ROUND(('K15'!C96-1000)*10%,2)))</f>
        <v>#NUM!</v>
      </c>
    </row>
    <row r="103" spans="1:8" x14ac:dyDescent="0.2">
      <c r="A103" s="23">
        <v>2</v>
      </c>
      <c r="B103" s="12" t="e">
        <f>IF(AND('K15'!D96=0,'K15'!D76=0),0,IF('K15'!D96&lt;=400,100,IF((SUM('K15'!D85,'K15'!D89,'K15'!D92,'K15'!D93,'K15'!D94,'K15'!D95))&lt;100,100,(SUM('K15'!D85,'K15'!D89,'K15'!D92,'K15'!D93,'K15'!D94,'K15'!D95)))))</f>
        <v>#NUM!</v>
      </c>
      <c r="C103" s="12" t="e">
        <f>IF(AND('K15'!D96=0,'K15'!D76=0),0,IF('K15'!D96&lt;=400,100,IF((SUM('K15'!D85,'K15'!D89,'K15'!D92,'K15'!D93,'K15'!D94,'K15'!D95)+30)&lt;100,100,(SUM('K15'!D85,'K15'!D89,'K15'!D92,'K15'!D93,'K15'!D94,'K15'!D95)+30))))</f>
        <v>#NUM!</v>
      </c>
      <c r="D103" s="12" t="e">
        <f>IF(AND('K15'!D96=0,'K15'!D76=0),0,MAX(SUM('K15'!D85,'K15'!D89,'K15'!D92,'K15'!D93,'K15'!D94,'K15'!D95),J31))</f>
        <v>#NUM!</v>
      </c>
      <c r="E103" s="12" t="e">
        <f>IF(AND('K15'!D96=0,'K15'!D76=0),0,MAX(SUM('K15'!D85,'K15'!D89,'K15'!D92,'K15'!D93,'K15'!D94,'K15'!D95)+30,J31))</f>
        <v>#NUM!</v>
      </c>
      <c r="F103" s="12" t="e">
        <f>IF('K15'!D61&lt;18,Grundfreibeträge!B103,Grundfreibeträge!C103)</f>
        <v>#NUM!</v>
      </c>
      <c r="G103" s="12" t="e">
        <f>IF('K15'!D61&lt;18,Grundfreibeträge!D103,Grundfreibeträge!E103)</f>
        <v>#NUM!</v>
      </c>
      <c r="H103" s="12" t="e">
        <f>IF('K15'!D96&lt;1000,0,IF('K15'!D96&gt;=1200,20,ROUND(('K15'!D96-1000)*10%,2)))</f>
        <v>#NUM!</v>
      </c>
    </row>
    <row r="104" spans="1:8" x14ac:dyDescent="0.2">
      <c r="A104" s="23">
        <v>3</v>
      </c>
      <c r="B104" s="12" t="e">
        <f>IF(AND('K15'!E96=0,'K15'!E76=0),0,IF('K15'!E96&lt;=400,100,IF((SUM('K15'!E85,'K15'!E89,'K15'!E92,'K15'!E93,'K15'!E94,'K15'!E95))&lt;100,100,(SUM('K15'!E85,'K15'!E89,'K15'!E92,'K15'!E93,'K15'!E94,'K15'!E95)))))</f>
        <v>#NUM!</v>
      </c>
      <c r="C104" s="12" t="e">
        <f>IF(AND('K15'!E96=0,'K15'!E76=0),0,IF('K15'!E96&lt;=400,100,IF((SUM('K15'!E85,'K15'!E89,'K15'!E92,'K15'!E93,'K15'!E94,'K15'!E95)+30)&lt;100,100,(SUM('K15'!E85,'K15'!E89,'K15'!E92,'K15'!E93,'K15'!E94,'K15'!E95)+30))))</f>
        <v>#NUM!</v>
      </c>
      <c r="D104" s="12" t="e">
        <f>IF(AND('K15'!E96=0,'K15'!E76=0),0,MAX(SUM('K15'!E85,'K15'!E89,'K15'!E92,'K15'!E93,'K15'!E94,'K15'!E95),J32))</f>
        <v>#NUM!</v>
      </c>
      <c r="E104" s="12" t="e">
        <f>IF(AND('K15'!E96=0,'K15'!E76=0),0,MAX(SUM('K15'!E85,'K15'!E89,'K15'!E92,'K15'!E93,'K15'!E94,'K15'!E95)+30,J32))</f>
        <v>#NUM!</v>
      </c>
      <c r="F104" s="12" t="e">
        <f>IF('K15'!E61&lt;18,Grundfreibeträge!B104,Grundfreibeträge!C104)</f>
        <v>#NUM!</v>
      </c>
      <c r="G104" s="12" t="e">
        <f>IF('K15'!E61&lt;18,Grundfreibeträge!D104,Grundfreibeträge!E104)</f>
        <v>#NUM!</v>
      </c>
      <c r="H104" s="12" t="e">
        <f>IF('K15'!E96&lt;1000,0,IF('K15'!E96&gt;=1200,20,ROUND(('K15'!E96-1000)*10%,2)))</f>
        <v>#NUM!</v>
      </c>
    </row>
    <row r="105" spans="1:8" x14ac:dyDescent="0.2">
      <c r="A105" s="23">
        <v>4</v>
      </c>
      <c r="B105" s="12" t="e">
        <f>IF(AND('K14'!F96=0,'K14'!F76=0),0,IF('K14'!F96&lt;=400,100,IF((SUM('K14'!F85,'K14'!F89,'K14'!F92,'K14'!F93,'K14'!F94,'K14'!F95))&lt;100,100,(SUM('K14'!F85,'K14'!F89,'K14'!F92,'K14'!F93,'K14'!F94,'K14'!F95)))))</f>
        <v>#NUM!</v>
      </c>
      <c r="C105" s="12" t="e">
        <f>IF(AND('K15'!F96=0,'K15'!F76=0),0,IF('K15'!F96&lt;=400,100,IF((SUM('K15'!F85,'K15'!F89,'K15'!F92,'K15'!F93,'K15'!F94,'K15'!F95)+30)&lt;100,100,(SUM('K15'!F85,'K15'!F89,'K15'!F92,'K15'!F93,'K15'!F94,'K15'!F95)+30))))</f>
        <v>#NUM!</v>
      </c>
      <c r="D105" s="12" t="e">
        <f>IF(AND('K15'!F96=0,'K15'!F76=0),0,MAX(SUM('K15'!F85,'K15'!F89,'K15'!F92,'K15'!F93,'K15'!F94,'K15'!F95),J33))</f>
        <v>#NUM!</v>
      </c>
      <c r="E105" s="12" t="e">
        <f>IF(AND('K15'!F96=0,'K15'!F76=0),0,MAX(SUM('K15'!F85,'K15'!F89,'K15'!F92,'K15'!F93,'K15'!F94,'K15'!F95)+30,J33))</f>
        <v>#NUM!</v>
      </c>
      <c r="F105" s="12" t="e">
        <f>IF('K15'!F61&lt;18,Grundfreibeträge!B105,Grundfreibeträge!C105)</f>
        <v>#NUM!</v>
      </c>
      <c r="G105" s="12" t="e">
        <f>IF('K15'!F61&lt;18,Grundfreibeträge!D105,Grundfreibeträge!E105)</f>
        <v>#NUM!</v>
      </c>
      <c r="H105" s="12" t="e">
        <f>IF('K15'!F96&lt;1000,0,IF('K15'!F96&gt;=1200,20,ROUND(('K15'!F96-1000)*10%,2)))</f>
        <v>#NUM!</v>
      </c>
    </row>
    <row r="106" spans="1:8" x14ac:dyDescent="0.2">
      <c r="A106" s="23">
        <v>5</v>
      </c>
      <c r="B106" s="12" t="e">
        <f>IF(AND('K15'!G96=0,'K15'!G76=0),0,IF('K15'!G96&lt;=400,100,IF((SUM('K15'!G85,'K15'!G89,'K15'!G92,'K15'!G93,'K15'!G94,'K15'!G95))&lt;100,100,(SUM('K15'!G85,'K15'!G89,'K15'!G92,'K15'!G93,'K15'!G94,'K15'!G95)))))</f>
        <v>#NUM!</v>
      </c>
      <c r="C106" s="12" t="e">
        <f>IF(AND('K15'!G96=0,'K15'!G76=0),0,IF('K15'!G96&lt;=400,100,IF((SUM('K15'!G85,'K15'!G89,'K15'!G92,'K15'!G93,'K15'!G94,'K15'!G95)+30)&lt;100,100,(SUM('K15'!G85,'K15'!G89,'K15'!G92,'K15'!G93,'K15'!G94,'K15'!G95)+30))))</f>
        <v>#NUM!</v>
      </c>
      <c r="D106" s="12" t="e">
        <f>IF(AND('K15'!G96=0,'K15'!G76=0),0,MAX(SUM('K15'!G85,'K15'!G89,'K15'!G92,'K15'!G93,'K15'!G94,'K15'!G95),J34))</f>
        <v>#NUM!</v>
      </c>
      <c r="E106" s="12" t="e">
        <f>IF(AND('K15'!G96=0,'K15'!G76=0),0,MAX(SUM('K15'!G85,'K15'!G89,'K15'!G92,'K15'!G93,'K15'!G94,'K15'!G95)+30,J34))</f>
        <v>#NUM!</v>
      </c>
      <c r="F106" s="12" t="e">
        <f>IF('K15'!G61&lt;18,Grundfreibeträge!B106,Grundfreibeträge!C106)</f>
        <v>#NUM!</v>
      </c>
      <c r="G106" s="12" t="e">
        <f>IF('K15'!G61&lt;18,Grundfreibeträge!D106,Grundfreibeträge!E106)</f>
        <v>#NUM!</v>
      </c>
      <c r="H106" s="12" t="e">
        <f>IF('K15'!G96&lt;1000,0,IF('K15'!G96&gt;=1200,20,ROUND(('K15'!G96-1000)*10%,2)))</f>
        <v>#NUM!</v>
      </c>
    </row>
    <row r="107" spans="1:8" x14ac:dyDescent="0.2">
      <c r="A107" s="23">
        <v>6</v>
      </c>
      <c r="B107" s="12" t="e">
        <f>IF(AND('K15'!H96=0,'K15'!H76=0),0,IF('K15'!H96&lt;=400,100,IF((SUM('K15'!H85,'K15'!H89,'K15'!H92,'K15'!H93,'K15'!H94,'K15'!H95))&lt;100,100,(SUM('K15'!H85,'K15'!H89,'K15'!H92,'K15'!H93,'K15'!H94,'K15'!H95)))))</f>
        <v>#NUM!</v>
      </c>
      <c r="C107" s="12" t="e">
        <f>IF(AND('K15'!H96=0,'K15'!H76=0),0,IF('K15'!H96&lt;=400,100,IF((SUM('K15'!H85,'K15'!H89,'K15'!H92,'K15'!H93,'K15'!H94,'K15'!H95)+30)&lt;100,100,(SUM('K15'!H85,'K15'!H89,'K15'!H92,'K15'!H93,'K15'!H94,'K15'!H95)+30))))</f>
        <v>#NUM!</v>
      </c>
      <c r="D107" s="12" t="e">
        <f>IF(AND('K15'!H96=0,'K15'!H76=0),0,MAX(SUM('K15'!H85,'K15'!H89,'K15'!H92,'K15'!H93,'K15'!H94,'K15'!H95),J35))</f>
        <v>#NUM!</v>
      </c>
      <c r="E107" s="12" t="e">
        <f>IF(AND('K15'!H96=0,'K15'!H76=0),0,MAX(SUM('K15'!H85,'K15'!H89,'K15'!H92,'K15'!H93,'K15'!H94,'K15'!H95)+30,J35))</f>
        <v>#NUM!</v>
      </c>
      <c r="F107" s="12" t="e">
        <f>IF('K15'!H61&lt;18,Grundfreibeträge!B107,Grundfreibeträge!C107)</f>
        <v>#NUM!</v>
      </c>
      <c r="G107" s="12" t="e">
        <f>IF('K15'!H61&lt;18,Grundfreibeträge!D107,Grundfreibeträge!E107)</f>
        <v>#NUM!</v>
      </c>
      <c r="H107" s="12" t="e">
        <f>IF('K15'!H96&lt;1000,0,IF('K15'!H96&gt;=1200,20,ROUND(('K15'!H96-1000)*10%,2)))</f>
        <v>#NUM!</v>
      </c>
    </row>
    <row r="1048576" spans="6:7" x14ac:dyDescent="0.2">
      <c r="F1048576" s="12"/>
      <c r="G1048576" s="12"/>
    </row>
  </sheetData>
  <sheetProtection algorithmName="SHA-512" hashValue="pb48Y+I2Mi7RvNAlIozPuHMjDxupp5RN9SR19lnlUUPDPoutoNxKtwxUrgx2Vf7YYFPfWSB+OCEw1nNLbfjBEQ==" saltValue="+whC8A+ZbezbNa8gh9nmgA==" spinCount="100000" sheet="1" objects="1" scenarios="1"/>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17"/>
  <dimension ref="A3:K45"/>
  <sheetViews>
    <sheetView topLeftCell="A19" workbookViewId="0">
      <selection activeCell="K29" sqref="K29"/>
    </sheetView>
  </sheetViews>
  <sheetFormatPr baseColWidth="10" defaultRowHeight="14.25" x14ac:dyDescent="0.2"/>
  <cols>
    <col min="10" max="10" width="18" customWidth="1"/>
  </cols>
  <sheetData>
    <row r="3" spans="1:11" ht="15" x14ac:dyDescent="0.25">
      <c r="A3" s="5" t="s">
        <v>204</v>
      </c>
      <c r="B3" s="35"/>
      <c r="C3" s="166">
        <v>2019</v>
      </c>
      <c r="D3" s="35"/>
      <c r="E3" s="4"/>
    </row>
    <row r="4" spans="1:11" x14ac:dyDescent="0.2">
      <c r="A4" s="3" t="s">
        <v>205</v>
      </c>
      <c r="B4" s="4"/>
      <c r="C4" s="3" t="s">
        <v>206</v>
      </c>
      <c r="D4" s="35"/>
      <c r="E4" s="4"/>
      <c r="F4" s="33" t="s">
        <v>218</v>
      </c>
      <c r="G4" s="32" t="str">
        <f>IF(BG!D8="mit Partner","Elternpaar",IF(BG!D8="verheiratet","Elternpaar","allein"))</f>
        <v>allein</v>
      </c>
    </row>
    <row r="5" spans="1:11" x14ac:dyDescent="0.2">
      <c r="A5" s="23" t="s">
        <v>219</v>
      </c>
      <c r="B5" s="23" t="s">
        <v>207</v>
      </c>
      <c r="C5" s="23" t="s">
        <v>219</v>
      </c>
      <c r="D5" s="1275" t="s">
        <v>207</v>
      </c>
      <c r="E5" s="1275"/>
      <c r="F5" s="33" t="s">
        <v>220</v>
      </c>
      <c r="G5" s="23">
        <f>COUNTIF('Berechnung KiZ'!D8:'Berechnung KiZ'!M8,"ja")+COUNTIF('Berechnung KiZ'!D18:H18,"ja")-K13</f>
        <v>0</v>
      </c>
    </row>
    <row r="6" spans="1:11" x14ac:dyDescent="0.2">
      <c r="A6" s="23">
        <v>1</v>
      </c>
      <c r="B6" s="58">
        <v>0.77</v>
      </c>
      <c r="C6" s="23">
        <v>1</v>
      </c>
      <c r="D6" s="1285">
        <v>0.84</v>
      </c>
      <c r="E6" s="1285"/>
      <c r="F6" s="32" t="s">
        <v>221</v>
      </c>
      <c r="G6" s="23">
        <f>IF(G5=1,B6,IF(G5=2,B7,IF(G5=3,B8,IF(G5=4,B9,IF(G5=5,B10,IF(G5=6,B11,IF(G5=7,B12,IF(G5=8,B13,IF(G5=9,B14,IF(G5=10,B15,IF(G5=11,B16,IF(G5=12,B17,IF(G5=13,B18,IF(G5=14,B19,B20))))))))))))))</f>
        <v>0.18</v>
      </c>
      <c r="H6" t="e">
        <f>IF(AND(BG!D8="alleinerziehend",Bedarfe!C22="ja"),0,'anteilige Wohnkosten'!G6*'anteilige Wohnkosten'!G8)</f>
        <v>#DIV/0!</v>
      </c>
    </row>
    <row r="7" spans="1:11" x14ac:dyDescent="0.2">
      <c r="A7" s="23">
        <v>2</v>
      </c>
      <c r="B7" s="58">
        <v>0.63</v>
      </c>
      <c r="C7" s="23">
        <v>2</v>
      </c>
      <c r="D7" s="1285">
        <v>0.72</v>
      </c>
      <c r="E7" s="1285"/>
      <c r="F7" s="32" t="s">
        <v>222</v>
      </c>
      <c r="G7" s="23">
        <f>IF(G5=1,D6,IF(G5=2,D7,IF(G5=3,D8,IF(G5=4,D9,IF(G5=5,D10,IF(G5=6,D11,IF(G5=7,D12,IF(G5=8,D13,IF(G5=9,D14,IF(G5=10,D15,IF(G5=11,D16,IF(G5=12,D17,IF(G5=13,0,IF(G5=14,D19,D20))))))))))))))</f>
        <v>0.25</v>
      </c>
      <c r="H7" t="e">
        <f>IF(AND(Bedarfe!C22="ja",Bedarfe!D22="ja"),0,IF(COUNTIF(Bedarfe!C22:D22,"ja")&gt;0,'anteilige Wohnkosten'!H6,'anteilige Wohnkosten'!G7*'anteilige Wohnkosten'!G8))</f>
        <v>#DIV/0!</v>
      </c>
      <c r="I7" t="s">
        <v>415</v>
      </c>
      <c r="K7" s="174">
        <f>2-(COUNTIF(BG!D19:D20,0))</f>
        <v>0</v>
      </c>
    </row>
    <row r="8" spans="1:11" x14ac:dyDescent="0.2">
      <c r="A8" s="23">
        <v>3</v>
      </c>
      <c r="B8" s="58">
        <v>0.53</v>
      </c>
      <c r="C8" s="23">
        <v>3</v>
      </c>
      <c r="D8" s="1285">
        <v>0.63</v>
      </c>
      <c r="E8" s="1285"/>
      <c r="F8" s="140" t="s">
        <v>420</v>
      </c>
      <c r="G8" s="12" t="e">
        <f>IF(AND(BdU!C7&gt;0,Kurzantrag!G7&gt;0),(G10/Kurzantrag!G7*'anteilige Wohnkosten'!K11),G10/BdU!K5*'anteilige Wohnkosten'!K11)</f>
        <v>#DIV/0!</v>
      </c>
      <c r="I8" t="s">
        <v>421</v>
      </c>
      <c r="K8">
        <f>COUNTIF(Bedarfe!C22:D22,"ja")</f>
        <v>0</v>
      </c>
    </row>
    <row r="9" spans="1:11" x14ac:dyDescent="0.2">
      <c r="A9" s="23">
        <v>4</v>
      </c>
      <c r="B9" s="58">
        <v>0.46</v>
      </c>
      <c r="C9" s="23">
        <v>4</v>
      </c>
      <c r="D9" s="1285">
        <v>0.56000000000000005</v>
      </c>
      <c r="E9" s="1285"/>
      <c r="F9" s="32" t="s">
        <v>419</v>
      </c>
      <c r="G9" s="12" t="e">
        <f>IF(AND(BdU!C7&gt;0,Kurzantrag!G7&gt;0),(G10/Kurzantrag!G7)*COUNTA(BG!C19:'BG'!C35),(G10/BdU!K5)*COUNTA(BG!C19:'BG'!C35))</f>
        <v>#DIV/0!</v>
      </c>
      <c r="I9" t="s">
        <v>416</v>
      </c>
      <c r="K9" s="174">
        <f>K7-K8</f>
        <v>0</v>
      </c>
    </row>
    <row r="10" spans="1:11" x14ac:dyDescent="0.2">
      <c r="A10" s="23">
        <v>5</v>
      </c>
      <c r="B10" s="58">
        <v>0.4</v>
      </c>
      <c r="C10" s="23">
        <v>5</v>
      </c>
      <c r="D10" s="1285">
        <v>0.5</v>
      </c>
      <c r="E10" s="1285"/>
      <c r="F10" s="23" t="s">
        <v>347</v>
      </c>
      <c r="G10" s="12">
        <f>IF(BdU!C7&gt;0,BdU!C7,BdU!C32)</f>
        <v>0</v>
      </c>
      <c r="I10" t="s">
        <v>417</v>
      </c>
      <c r="K10">
        <f>G5</f>
        <v>0</v>
      </c>
    </row>
    <row r="11" spans="1:11" x14ac:dyDescent="0.2">
      <c r="A11" s="23">
        <v>6</v>
      </c>
      <c r="B11" s="58">
        <v>0.36</v>
      </c>
      <c r="C11" s="23">
        <v>6</v>
      </c>
      <c r="D11" s="1285">
        <v>0.46</v>
      </c>
      <c r="E11" s="1285"/>
      <c r="I11" t="s">
        <v>418</v>
      </c>
      <c r="K11" s="174">
        <f>K9+K10</f>
        <v>0</v>
      </c>
    </row>
    <row r="12" spans="1:11" x14ac:dyDescent="0.2">
      <c r="A12" s="23">
        <v>7</v>
      </c>
      <c r="B12" s="58">
        <v>0.32</v>
      </c>
      <c r="C12" s="23">
        <v>7</v>
      </c>
      <c r="D12" s="1285">
        <v>0.42</v>
      </c>
      <c r="E12" s="1285"/>
    </row>
    <row r="13" spans="1:11" x14ac:dyDescent="0.2">
      <c r="A13" s="23">
        <v>8</v>
      </c>
      <c r="B13" s="58">
        <v>0.3</v>
      </c>
      <c r="C13" s="23">
        <v>8</v>
      </c>
      <c r="D13" s="1285">
        <v>0.39</v>
      </c>
      <c r="E13" s="1285"/>
      <c r="I13" t="s">
        <v>512</v>
      </c>
      <c r="K13">
        <f>SUM(B42:J42,B45:G45)</f>
        <v>0</v>
      </c>
    </row>
    <row r="14" spans="1:11" x14ac:dyDescent="0.2">
      <c r="A14" s="23">
        <v>9</v>
      </c>
      <c r="B14" s="58">
        <v>0.27</v>
      </c>
      <c r="C14" s="23">
        <v>9</v>
      </c>
      <c r="D14" s="1285">
        <v>0.36</v>
      </c>
      <c r="E14" s="1285"/>
    </row>
    <row r="15" spans="1:11" x14ac:dyDescent="0.2">
      <c r="A15" s="23">
        <v>10</v>
      </c>
      <c r="B15" s="58">
        <v>0.25</v>
      </c>
      <c r="C15" s="23">
        <v>10</v>
      </c>
      <c r="D15" s="1285">
        <v>0.34</v>
      </c>
      <c r="E15" s="1285"/>
    </row>
    <row r="16" spans="1:11" x14ac:dyDescent="0.2">
      <c r="A16" s="51">
        <v>11</v>
      </c>
      <c r="B16" s="160">
        <v>0.23</v>
      </c>
      <c r="C16" s="51">
        <v>11</v>
      </c>
      <c r="D16" s="1288">
        <v>0.32</v>
      </c>
      <c r="E16" s="1288"/>
    </row>
    <row r="17" spans="1:11" x14ac:dyDescent="0.2">
      <c r="A17" s="51">
        <v>12</v>
      </c>
      <c r="B17" s="160">
        <v>0.22</v>
      </c>
      <c r="C17" s="51">
        <v>12</v>
      </c>
      <c r="D17" s="1285">
        <v>0.3</v>
      </c>
      <c r="E17" s="1285"/>
    </row>
    <row r="18" spans="1:11" x14ac:dyDescent="0.2">
      <c r="A18" s="51">
        <v>13</v>
      </c>
      <c r="B18" s="58">
        <v>0.21</v>
      </c>
      <c r="C18" s="51">
        <v>13</v>
      </c>
      <c r="D18" s="1286">
        <v>0.28000000000000003</v>
      </c>
      <c r="E18" s="1287"/>
    </row>
    <row r="19" spans="1:11" x14ac:dyDescent="0.2">
      <c r="A19" s="51">
        <v>14</v>
      </c>
      <c r="B19" s="58">
        <v>0.19</v>
      </c>
      <c r="C19" s="51">
        <v>14</v>
      </c>
      <c r="D19" s="1286">
        <v>0.27</v>
      </c>
      <c r="E19" s="1287"/>
    </row>
    <row r="20" spans="1:11" x14ac:dyDescent="0.2">
      <c r="A20" s="51">
        <v>15</v>
      </c>
      <c r="B20" s="58">
        <v>0.18</v>
      </c>
      <c r="C20" s="51">
        <v>15</v>
      </c>
      <c r="D20" s="1286">
        <v>0.25</v>
      </c>
      <c r="E20" s="1287"/>
    </row>
    <row r="21" spans="1:11" ht="15" x14ac:dyDescent="0.25">
      <c r="A21" s="5" t="s">
        <v>204</v>
      </c>
      <c r="B21" s="166"/>
      <c r="C21" s="167" t="s">
        <v>409</v>
      </c>
    </row>
    <row r="22" spans="1:11" x14ac:dyDescent="0.2">
      <c r="A22" s="3" t="s">
        <v>205</v>
      </c>
      <c r="B22" s="4"/>
      <c r="C22" s="3" t="s">
        <v>206</v>
      </c>
      <c r="D22" s="35"/>
      <c r="E22" s="4"/>
      <c r="F22" s="165" t="s">
        <v>218</v>
      </c>
      <c r="G22" s="23" t="str">
        <f>IF(BG!D8="mit Partner","Elternpaar",IF(BG!D8="verheiratet","Elternpaar","allein"))</f>
        <v>allein</v>
      </c>
    </row>
    <row r="23" spans="1:11" x14ac:dyDescent="0.2">
      <c r="A23" s="23" t="s">
        <v>219</v>
      </c>
      <c r="B23" s="23" t="s">
        <v>207</v>
      </c>
      <c r="C23" s="23" t="s">
        <v>219</v>
      </c>
      <c r="D23" s="1275" t="s">
        <v>207</v>
      </c>
      <c r="E23" s="1275"/>
      <c r="F23" s="168" t="s">
        <v>220</v>
      </c>
      <c r="G23" s="23">
        <f>COUNTIF('Kiz ab Januar 2025'!D8:'Kiz ab Januar 2025'!M8,"ja")+COUNTIF('Kiz ab Januar 2025'!D18:'Kiz ab Januar 2025'!H18,"ja")-K31</f>
        <v>0</v>
      </c>
    </row>
    <row r="24" spans="1:11" x14ac:dyDescent="0.2">
      <c r="A24" s="23">
        <v>1</v>
      </c>
      <c r="B24" s="58">
        <v>0.77</v>
      </c>
      <c r="C24" s="23">
        <v>1</v>
      </c>
      <c r="D24" s="1285">
        <v>0.83</v>
      </c>
      <c r="E24" s="1285"/>
      <c r="F24" s="165" t="s">
        <v>221</v>
      </c>
      <c r="G24" s="23">
        <f>IF(G23=1,B24,IF(G23=2,B25,IF(G23=3,B26,IF(G23=4,B27,IF(G23=5,B28,IF(G23=6,B29,IF(G23=7,B30,IF(G23=8,B31,IF(G23=9,B32,IF(G23=10,B33,IF(G23=11,B34,IF(G23=12,B35,IF(G23=13,B36,IF(G23=14,B37,B38))))))))))))))</f>
        <v>0.18</v>
      </c>
      <c r="H24" t="e">
        <f>IF(AND(BG!D8="alleinerziehend",Bedarfe!C22="ja"),0,'anteilige Wohnkosten'!G24*'anteilige Wohnkosten'!G26)</f>
        <v>#DIV/0!</v>
      </c>
    </row>
    <row r="25" spans="1:11" x14ac:dyDescent="0.2">
      <c r="A25" s="23">
        <v>2</v>
      </c>
      <c r="B25" s="58">
        <v>0.63</v>
      </c>
      <c r="C25" s="23">
        <v>2</v>
      </c>
      <c r="D25" s="1285">
        <v>0.71</v>
      </c>
      <c r="E25" s="1285"/>
      <c r="F25" s="165" t="s">
        <v>222</v>
      </c>
      <c r="G25" s="23">
        <f>IF(G23=1,D24,IF(G23=2,D25,IF(G23=3,D26,IF(G23=4,D27,IF(G23=5,D28,IF(G23=6,D29,IF(G23=7,D30,IF(G23=8,D31,IF(G23=9,D32,IF(G23=10,D33,IF(G23=11,D34,IF(G23=12,D35,IF(G23=13,0,IF(G23=14,D37,D38))))))))))))))</f>
        <v>0.25</v>
      </c>
      <c r="H25" t="e">
        <f>IF(AND(Bedarfe!C22="ja",Bedarfe!D22="ja"),0,IF(COUNTIF(Bedarfe!C22:D22,"ja")&gt;0,'anteilige Wohnkosten'!H24,'anteilige Wohnkosten'!G25*'anteilige Wohnkosten'!G26))</f>
        <v>#DIV/0!</v>
      </c>
      <c r="I25" t="s">
        <v>415</v>
      </c>
      <c r="K25" s="174">
        <f>2-(COUNTIF(BG!D19:D20,0))</f>
        <v>0</v>
      </c>
    </row>
    <row r="26" spans="1:11" x14ac:dyDescent="0.2">
      <c r="A26" s="23">
        <v>3</v>
      </c>
      <c r="B26" s="58">
        <v>0.53</v>
      </c>
      <c r="C26" s="23">
        <v>3</v>
      </c>
      <c r="D26" s="1285">
        <v>0.62</v>
      </c>
      <c r="E26" s="1285"/>
      <c r="F26" s="165" t="s">
        <v>420</v>
      </c>
      <c r="G26" s="204" t="e">
        <f>IF(AND(BdU!C7&gt;0,Kurzantrag!G7&gt;0),(G28/Kurzantrag!G7)*'anteilige Wohnkosten'!K29,G28/BdU!K5*'anteilige Wohnkosten'!K29)</f>
        <v>#DIV/0!</v>
      </c>
      <c r="I26" t="s">
        <v>421</v>
      </c>
      <c r="K26">
        <f>COUNTIF(Bedarfe!C22:D22,"ja")</f>
        <v>0</v>
      </c>
    </row>
    <row r="27" spans="1:11" x14ac:dyDescent="0.2">
      <c r="A27" s="23">
        <v>4</v>
      </c>
      <c r="B27" s="58">
        <v>0.46</v>
      </c>
      <c r="C27" s="23">
        <v>4</v>
      </c>
      <c r="D27" s="1285">
        <v>0.55000000000000004</v>
      </c>
      <c r="E27" s="1285"/>
      <c r="F27" s="165" t="s">
        <v>419</v>
      </c>
      <c r="G27" s="12" t="e">
        <f>IF(AND(BdU!C7&gt;0,Kurzantrag!G7&gt;0),(G28/Kurzantrag!G7)*COUNTA(BG!C19:'BG'!C35),(G28/BdU!K5)*COUNTA(BG!C19:'BG'!C35))</f>
        <v>#DIV/0!</v>
      </c>
      <c r="I27" t="s">
        <v>416</v>
      </c>
      <c r="K27" s="174">
        <f>K25-K26</f>
        <v>0</v>
      </c>
    </row>
    <row r="28" spans="1:11" x14ac:dyDescent="0.2">
      <c r="A28" s="23">
        <v>5</v>
      </c>
      <c r="B28" s="58">
        <v>0.4</v>
      </c>
      <c r="C28" s="23">
        <v>5</v>
      </c>
      <c r="D28" s="1285">
        <v>0.5</v>
      </c>
      <c r="E28" s="1285"/>
      <c r="F28" s="165" t="s">
        <v>347</v>
      </c>
      <c r="G28" s="12">
        <f>IF(BdU!C7&gt;0,BdU!C7,BdU!C32)</f>
        <v>0</v>
      </c>
      <c r="I28" t="s">
        <v>417</v>
      </c>
      <c r="K28">
        <f>G23</f>
        <v>0</v>
      </c>
    </row>
    <row r="29" spans="1:11" x14ac:dyDescent="0.2">
      <c r="A29" s="23">
        <v>6</v>
      </c>
      <c r="B29" s="58">
        <v>0.36</v>
      </c>
      <c r="C29" s="23">
        <v>6</v>
      </c>
      <c r="D29" s="1285">
        <v>0.45</v>
      </c>
      <c r="E29" s="1285"/>
      <c r="I29" t="s">
        <v>418</v>
      </c>
      <c r="K29" s="174">
        <f>K27+K28+K31</f>
        <v>0</v>
      </c>
    </row>
    <row r="30" spans="1:11" x14ac:dyDescent="0.2">
      <c r="A30" s="23">
        <v>7</v>
      </c>
      <c r="B30" s="58">
        <v>0.33</v>
      </c>
      <c r="C30" s="23">
        <v>7</v>
      </c>
      <c r="D30" s="1285">
        <v>0.41</v>
      </c>
      <c r="E30" s="1285"/>
    </row>
    <row r="31" spans="1:11" x14ac:dyDescent="0.2">
      <c r="A31" s="23">
        <v>8</v>
      </c>
      <c r="B31" s="58">
        <v>0.3</v>
      </c>
      <c r="C31" s="23">
        <v>8</v>
      </c>
      <c r="D31" s="1285">
        <v>0.38</v>
      </c>
      <c r="E31" s="1285"/>
      <c r="I31" t="s">
        <v>512</v>
      </c>
      <c r="K31">
        <f>SUM(B42:J42,B45:G45)</f>
        <v>0</v>
      </c>
    </row>
    <row r="32" spans="1:11" x14ac:dyDescent="0.2">
      <c r="A32" s="23">
        <v>9</v>
      </c>
      <c r="B32" s="58">
        <v>0.27</v>
      </c>
      <c r="C32" s="23">
        <v>9</v>
      </c>
      <c r="D32" s="1285">
        <v>0.36</v>
      </c>
      <c r="E32" s="1285"/>
    </row>
    <row r="33" spans="1:11" x14ac:dyDescent="0.2">
      <c r="A33" s="23">
        <v>10</v>
      </c>
      <c r="B33" s="58">
        <v>0.25</v>
      </c>
      <c r="C33" s="23">
        <v>10</v>
      </c>
      <c r="D33" s="1285">
        <v>0.33</v>
      </c>
      <c r="E33" s="1285"/>
    </row>
    <row r="34" spans="1:11" x14ac:dyDescent="0.2">
      <c r="A34" s="23">
        <v>11</v>
      </c>
      <c r="B34" s="58">
        <v>0.24</v>
      </c>
      <c r="C34" s="23">
        <v>11</v>
      </c>
      <c r="D34" s="1285">
        <v>0.31</v>
      </c>
      <c r="E34" s="1285"/>
    </row>
    <row r="35" spans="1:11" x14ac:dyDescent="0.2">
      <c r="A35" s="23">
        <v>12</v>
      </c>
      <c r="B35" s="58">
        <v>0.22</v>
      </c>
      <c r="C35" s="23">
        <v>12</v>
      </c>
      <c r="D35" s="1285">
        <v>0.28999999999999998</v>
      </c>
      <c r="E35" s="1285"/>
    </row>
    <row r="36" spans="1:11" x14ac:dyDescent="0.2">
      <c r="A36" s="23">
        <v>13</v>
      </c>
      <c r="B36" s="58">
        <v>0.21</v>
      </c>
      <c r="C36" s="23">
        <v>13</v>
      </c>
      <c r="D36" s="1285">
        <v>0.28000000000000003</v>
      </c>
      <c r="E36" s="1285"/>
    </row>
    <row r="37" spans="1:11" x14ac:dyDescent="0.2">
      <c r="A37" s="23">
        <v>14</v>
      </c>
      <c r="B37" s="58">
        <v>0.19</v>
      </c>
      <c r="C37" s="23">
        <v>14</v>
      </c>
      <c r="D37" s="1285">
        <v>0.26</v>
      </c>
      <c r="E37" s="1285"/>
    </row>
    <row r="38" spans="1:11" x14ac:dyDescent="0.2">
      <c r="A38" s="23">
        <v>15</v>
      </c>
      <c r="B38" s="58">
        <v>0.18</v>
      </c>
      <c r="C38" s="23">
        <v>15</v>
      </c>
      <c r="D38" s="1285">
        <v>0.25</v>
      </c>
      <c r="E38" s="1285"/>
    </row>
    <row r="41" spans="1:11" x14ac:dyDescent="0.2">
      <c r="B41" t="s">
        <v>307</v>
      </c>
      <c r="C41" t="s">
        <v>308</v>
      </c>
      <c r="D41" t="s">
        <v>309</v>
      </c>
      <c r="E41" t="s">
        <v>310</v>
      </c>
      <c r="F41" t="s">
        <v>311</v>
      </c>
      <c r="G41" t="s">
        <v>312</v>
      </c>
      <c r="H41" t="s">
        <v>348</v>
      </c>
      <c r="I41" t="s">
        <v>349</v>
      </c>
      <c r="J41" t="s">
        <v>350</v>
      </c>
    </row>
    <row r="42" spans="1:11" x14ac:dyDescent="0.2">
      <c r="A42" t="s">
        <v>581</v>
      </c>
      <c r="B42">
        <f>IF(AND(BG!D21&gt;17,BG!E21="nein",'Kiz ab Januar 2025'!D8="ja"),1,0)</f>
        <v>0</v>
      </c>
      <c r="C42">
        <f>IF(AND(BG!D22&gt;17,BG!E22="nein",'Kiz ab Januar 2025'!E8="ja"),1,0)</f>
        <v>0</v>
      </c>
      <c r="D42">
        <f>IF(AND(BG!$D23&gt;17,BG!$E23="nein",'Kiz ab Januar 2025'!F8="ja"),1,0)</f>
        <v>0</v>
      </c>
      <c r="E42">
        <f>IF(AND(BG!$D24&gt;17,BG!$E24="nein",'Kiz ab Januar 2025'!G8="ja"),1,0)</f>
        <v>0</v>
      </c>
      <c r="F42">
        <f>IF(AND(BG!$D25&gt;17,BG!$E25="nein",'Kiz ab Januar 2025'!H8="ja"),1,0)</f>
        <v>0</v>
      </c>
      <c r="G42">
        <f>IF(AND(BG!$D26&gt;17,BG!$E26="nein",'Kiz ab Januar 2025'!I8="ja"),1,0)</f>
        <v>0</v>
      </c>
      <c r="H42">
        <f>IF(AND(BG!$D27&gt;17,BG!$E27="nein",'Kiz ab Januar 2025'!J8="ja"),1,0)</f>
        <v>0</v>
      </c>
      <c r="I42">
        <f>IF(AND(BG!$D28&gt;17,BG!$E28="nein",'Kiz ab Januar 2025'!K8="ja"),1,0)</f>
        <v>0</v>
      </c>
      <c r="J42">
        <f>IF(AND(BG!$D29&gt;17,BG!$E29="nein",'Kiz ab Januar 2025'!L8="ja"),1,0)</f>
        <v>0</v>
      </c>
    </row>
    <row r="44" spans="1:11" x14ac:dyDescent="0.2">
      <c r="B44" t="s">
        <v>351</v>
      </c>
      <c r="C44" t="s">
        <v>352</v>
      </c>
      <c r="D44" t="s">
        <v>353</v>
      </c>
      <c r="E44" t="s">
        <v>387</v>
      </c>
      <c r="F44" t="s">
        <v>388</v>
      </c>
      <c r="G44" t="s">
        <v>389</v>
      </c>
    </row>
    <row r="45" spans="1:11" x14ac:dyDescent="0.2">
      <c r="A45" t="s">
        <v>581</v>
      </c>
      <c r="B45">
        <f>IF(AND(BG!$D30&gt;17,BG!$E30="nein",'Kiz ab Januar 2025'!M8="ja"),1,0)</f>
        <v>0</v>
      </c>
      <c r="C45">
        <f>IF(AND(BG!$D31&gt;17,BG!$E31="nein",'Kiz ab Januar 2025'!D18="ja"),1,0)</f>
        <v>0</v>
      </c>
      <c r="D45">
        <f>IF(AND(BG!$D32&gt;17,BG!$E32="nein",,'Kiz ab Januar 2025'!E18="ja"),1,0)</f>
        <v>0</v>
      </c>
      <c r="E45">
        <f>IF(AND(BG!$D33&gt;17,BG!$E33="nein",'Kiz ab Januar 2025'!F18="ja"),1,0)</f>
        <v>0</v>
      </c>
      <c r="F45">
        <f>IF(AND(BG!$D34&gt;17,BG!$E34="nein",'Kiz ab Januar 2025'!G18="ja"),1,0)</f>
        <v>0</v>
      </c>
      <c r="G45">
        <f>IF(AND(BG!$D35&gt;17,BG!$E35="nein",'Kiz ab Januar 2025'!H18="ja"),1,0)</f>
        <v>0</v>
      </c>
    </row>
  </sheetData>
  <sheetProtection algorithmName="SHA-512" hashValue="JOr8btwtWXw9S8OThYCwKZhnormU/pMJFhwiJHbYDEEFAYyXeJpLW7FLZfhcbRunOMx67ke/sJuM/rJ5uecA1A==" saltValue="R7Xn7lvls6ZjWrsantbWmg==" spinCount="100000" sheet="1" formatCells="0" formatColumns="0" formatRows="0" insertColumns="0" insertRows="0" insertHyperlinks="0" deleteColumns="0" deleteRows="0" sort="0" autoFilter="0" pivotTables="0"/>
  <mergeCells count="32">
    <mergeCell ref="D10:E10"/>
    <mergeCell ref="D5:E5"/>
    <mergeCell ref="D6:E6"/>
    <mergeCell ref="D7:E7"/>
    <mergeCell ref="D8:E8"/>
    <mergeCell ref="D9:E9"/>
    <mergeCell ref="D11:E11"/>
    <mergeCell ref="D12:E12"/>
    <mergeCell ref="D13:E13"/>
    <mergeCell ref="D14:E14"/>
    <mergeCell ref="D15:E15"/>
    <mergeCell ref="D18:E18"/>
    <mergeCell ref="D19:E19"/>
    <mergeCell ref="D20:E20"/>
    <mergeCell ref="D16:E16"/>
    <mergeCell ref="D17:E17"/>
    <mergeCell ref="D23:E23"/>
    <mergeCell ref="D24:E24"/>
    <mergeCell ref="D25:E25"/>
    <mergeCell ref="D26:E26"/>
    <mergeCell ref="D27:E27"/>
    <mergeCell ref="D28:E28"/>
    <mergeCell ref="D29:E29"/>
    <mergeCell ref="D30:E30"/>
    <mergeCell ref="D31:E31"/>
    <mergeCell ref="D32:E32"/>
    <mergeCell ref="D38:E38"/>
    <mergeCell ref="D33:E33"/>
    <mergeCell ref="D34:E34"/>
    <mergeCell ref="D35:E35"/>
    <mergeCell ref="D36:E36"/>
    <mergeCell ref="D37:E37"/>
  </mergeCells>
  <pageMargins left="0.7" right="0.7" top="0.78740157499999996" bottom="0.78740157499999996"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27"/>
  <dimension ref="A3:J209"/>
  <sheetViews>
    <sheetView showGridLines="0" zoomScaleNormal="100" workbookViewId="0">
      <selection activeCell="K10" sqref="K10"/>
    </sheetView>
  </sheetViews>
  <sheetFormatPr baseColWidth="10" defaultRowHeight="14.25" x14ac:dyDescent="0.2"/>
  <cols>
    <col min="1" max="3" width="11" style="2"/>
    <col min="4" max="4" width="12.625" style="2" customWidth="1"/>
    <col min="5" max="16384" width="11" style="2"/>
  </cols>
  <sheetData>
    <row r="3" spans="1:10" ht="15" thickBot="1" x14ac:dyDescent="0.25">
      <c r="A3" s="127"/>
      <c r="B3" s="239"/>
      <c r="C3" s="239"/>
      <c r="D3" s="239"/>
      <c r="E3" s="239"/>
      <c r="F3" s="239"/>
      <c r="G3" s="239"/>
      <c r="H3" s="239"/>
      <c r="I3" s="239"/>
      <c r="J3" s="127"/>
    </row>
    <row r="4" spans="1:10" ht="15" thickBot="1" x14ac:dyDescent="0.25">
      <c r="A4" s="127"/>
      <c r="B4" s="1299" t="s">
        <v>400</v>
      </c>
      <c r="C4" s="1300"/>
      <c r="D4" s="1300"/>
      <c r="E4" s="526">
        <f>(SUM(MEG!B14:'MEG'!K15)+SUM(MEG!B18:'MEG'!K19)+SUM(MEG!B22:'MEG'!K23)+SUM(MEG!B26:'MEG'!K27)+SUM(MEG!B30:'MEG'!K31)+SUM(MEG!B34:'MEG'!K35))/6</f>
        <v>0</v>
      </c>
      <c r="F4" s="239"/>
      <c r="G4" s="527" t="s">
        <v>414</v>
      </c>
      <c r="H4" s="528"/>
      <c r="I4" s="239"/>
      <c r="J4" s="127"/>
    </row>
    <row r="5" spans="1:10" x14ac:dyDescent="0.2">
      <c r="A5" s="127"/>
      <c r="B5" s="1301" t="s">
        <v>401</v>
      </c>
      <c r="C5" s="810"/>
      <c r="D5" s="810"/>
      <c r="E5" s="529">
        <f>(SUM(MEG!B44:'MEG'!K45)+SUM(MEG!B48:'MEG'!K49)+SUM(MEG!B52:'MEG'!K53)+SUM(MEG!B56:'MEG'!K57)+SUM(MEG!B60:'MEG'!K61)+SUM(MEG!B64:'MEG'!K65))/6</f>
        <v>0</v>
      </c>
      <c r="F5" s="239"/>
      <c r="G5" s="530" t="s">
        <v>13</v>
      </c>
      <c r="H5" s="526" t="e">
        <f>'K1'!H121+Vermögen!G17</f>
        <v>#NUM!</v>
      </c>
      <c r="I5" s="239"/>
      <c r="J5" s="127"/>
    </row>
    <row r="6" spans="1:10" ht="15" thickBot="1" x14ac:dyDescent="0.25">
      <c r="A6" s="127"/>
      <c r="B6" s="1302" t="s">
        <v>408</v>
      </c>
      <c r="C6" s="1303"/>
      <c r="D6" s="1303"/>
      <c r="E6" s="531">
        <f>IF(Kurzantrag!B3&gt;0,Kurzantrag!B3,E4+E5)</f>
        <v>0</v>
      </c>
      <c r="F6" s="239"/>
      <c r="G6" s="532" t="s">
        <v>14</v>
      </c>
      <c r="H6" s="529" t="e">
        <f>'K2'!H121+Vermögen!H17</f>
        <v>#NUM!</v>
      </c>
      <c r="I6" s="239"/>
      <c r="J6" s="127"/>
    </row>
    <row r="7" spans="1:10" x14ac:dyDescent="0.2">
      <c r="A7" s="127"/>
      <c r="B7" s="1299" t="s">
        <v>402</v>
      </c>
      <c r="C7" s="1300"/>
      <c r="D7" s="1300"/>
      <c r="E7" s="526" t="e">
        <f>Datenblatt!A93</f>
        <v>#N/A</v>
      </c>
      <c r="F7" s="239"/>
      <c r="G7" s="532" t="s">
        <v>15</v>
      </c>
      <c r="H7" s="529" t="e">
        <f>'K3'!H121+Vermögen!I17</f>
        <v>#NUM!</v>
      </c>
      <c r="I7" s="239"/>
      <c r="J7" s="127"/>
    </row>
    <row r="8" spans="1:10" ht="15" thickBot="1" x14ac:dyDescent="0.25">
      <c r="A8" s="127"/>
      <c r="B8" s="1302" t="s">
        <v>404</v>
      </c>
      <c r="C8" s="1303"/>
      <c r="D8" s="1303"/>
      <c r="E8" s="531" t="e">
        <f>Datenblatt!A94</f>
        <v>#N/A</v>
      </c>
      <c r="F8" s="239"/>
      <c r="G8" s="532" t="s">
        <v>16</v>
      </c>
      <c r="H8" s="529" t="e">
        <f>'K4'!H121+Vermögen!J17</f>
        <v>#NUM!</v>
      </c>
      <c r="I8" s="239"/>
      <c r="J8" s="127"/>
    </row>
    <row r="9" spans="1:10" x14ac:dyDescent="0.2">
      <c r="A9" s="127"/>
      <c r="B9" s="1299" t="s">
        <v>403</v>
      </c>
      <c r="C9" s="1300"/>
      <c r="D9" s="1300"/>
      <c r="E9" s="526" t="e">
        <f>Datenblatt!B93</f>
        <v>#N/A</v>
      </c>
      <c r="F9" s="239"/>
      <c r="G9" s="532" t="s">
        <v>17</v>
      </c>
      <c r="H9" s="529" t="e">
        <f>'K5'!H121+Vermögen!K17</f>
        <v>#NUM!</v>
      </c>
      <c r="I9" s="239"/>
      <c r="J9" s="127"/>
    </row>
    <row r="10" spans="1:10" ht="15" thickBot="1" x14ac:dyDescent="0.25">
      <c r="A10" s="127"/>
      <c r="B10" s="1302" t="s">
        <v>405</v>
      </c>
      <c r="C10" s="1303"/>
      <c r="D10" s="1303"/>
      <c r="E10" s="531" t="e">
        <f>Datenblatt!B94</f>
        <v>#N/A</v>
      </c>
      <c r="F10" s="239"/>
      <c r="G10" s="532" t="s">
        <v>18</v>
      </c>
      <c r="H10" s="529" t="e">
        <f>'K6'!H121+Vermögen!L17</f>
        <v>#NUM!</v>
      </c>
      <c r="I10" s="239"/>
      <c r="J10" s="127"/>
    </row>
    <row r="11" spans="1:10" x14ac:dyDescent="0.2">
      <c r="A11" s="127"/>
      <c r="B11" s="1299" t="s">
        <v>406</v>
      </c>
      <c r="C11" s="1300"/>
      <c r="D11" s="1300"/>
      <c r="E11" s="526" t="e">
        <f>E7+E9</f>
        <v>#N/A</v>
      </c>
      <c r="F11" s="239"/>
      <c r="G11" s="532" t="s">
        <v>340</v>
      </c>
      <c r="H11" s="529" t="e">
        <f>'K7'!H121+Vermögen!M17</f>
        <v>#NUM!</v>
      </c>
      <c r="I11" s="239"/>
      <c r="J11" s="127"/>
    </row>
    <row r="12" spans="1:10" ht="15" thickBot="1" x14ac:dyDescent="0.25">
      <c r="A12" s="127"/>
      <c r="B12" s="1302" t="s">
        <v>407</v>
      </c>
      <c r="C12" s="1303"/>
      <c r="D12" s="1303"/>
      <c r="E12" s="531" t="e">
        <f>E8+E10</f>
        <v>#N/A</v>
      </c>
      <c r="F12" s="239"/>
      <c r="G12" s="532" t="s">
        <v>341</v>
      </c>
      <c r="H12" s="529" t="e">
        <f>'K8'!H121+Vermögen!E34</f>
        <v>#NUM!</v>
      </c>
      <c r="I12" s="239"/>
      <c r="J12" s="127"/>
    </row>
    <row r="13" spans="1:10" ht="15" thickBot="1" x14ac:dyDescent="0.25">
      <c r="A13" s="127"/>
      <c r="B13" s="239"/>
      <c r="C13" s="239"/>
      <c r="D13" s="239"/>
      <c r="E13" s="239"/>
      <c r="F13" s="239"/>
      <c r="G13" s="532" t="s">
        <v>342</v>
      </c>
      <c r="H13" s="529" t="e">
        <f>'K9'!H121+Vermögen!F34</f>
        <v>#NUM!</v>
      </c>
      <c r="I13" s="239"/>
      <c r="J13" s="127"/>
    </row>
    <row r="14" spans="1:10" x14ac:dyDescent="0.2">
      <c r="A14" s="127"/>
      <c r="B14" s="1299" t="s">
        <v>395</v>
      </c>
      <c r="C14" s="1300"/>
      <c r="D14" s="1300"/>
      <c r="E14" s="526" t="str">
        <f>Bedarfe!C77</f>
        <v xml:space="preserve"> </v>
      </c>
      <c r="F14" s="84"/>
      <c r="G14" s="532" t="s">
        <v>343</v>
      </c>
      <c r="H14" s="529" t="e">
        <f>'K10'!H121+Vermögen!G34</f>
        <v>#NUM!</v>
      </c>
      <c r="I14" s="239"/>
      <c r="J14" s="127"/>
    </row>
    <row r="15" spans="1:10" x14ac:dyDescent="0.2">
      <c r="A15" s="127"/>
      <c r="B15" s="1301" t="s">
        <v>396</v>
      </c>
      <c r="C15" s="810"/>
      <c r="D15" s="810"/>
      <c r="E15" s="529" t="str">
        <f>Bedarfe!C79</f>
        <v xml:space="preserve"> </v>
      </c>
      <c r="F15" s="549" t="s">
        <v>409</v>
      </c>
      <c r="G15" s="532" t="s">
        <v>344</v>
      </c>
      <c r="H15" s="529" t="e">
        <f>'K11'!H121+Vermögen!H34</f>
        <v>#NUM!</v>
      </c>
      <c r="I15" s="239"/>
      <c r="J15" s="127"/>
    </row>
    <row r="16" spans="1:10" x14ac:dyDescent="0.2">
      <c r="A16" s="127"/>
      <c r="B16" s="1301" t="s">
        <v>410</v>
      </c>
      <c r="C16" s="810"/>
      <c r="D16" s="810"/>
      <c r="E16" s="529" t="str">
        <f>IF(BG!D2&lt;=BG!E2,'Berechnung KiZ'!D75,'Kiz ab Januar 2025'!C37)</f>
        <v xml:space="preserve"> </v>
      </c>
      <c r="F16" s="550" t="str">
        <f>'Berechnung KiZ'!E75</f>
        <v xml:space="preserve"> </v>
      </c>
      <c r="G16" s="532" t="s">
        <v>345</v>
      </c>
      <c r="H16" s="529" t="e">
        <f>'K12'!H121+Vermögen!I34</f>
        <v>#NUM!</v>
      </c>
      <c r="I16" s="239"/>
      <c r="J16" s="127"/>
    </row>
    <row r="17" spans="1:10" ht="15" thickBot="1" x14ac:dyDescent="0.25">
      <c r="A17" s="127"/>
      <c r="B17" s="1302" t="s">
        <v>397</v>
      </c>
      <c r="C17" s="1303"/>
      <c r="D17" s="1303"/>
      <c r="E17" s="531" t="str">
        <f>IF(BG!D2&lt;=BG!E2,'Berechnung KiZ'!C51," ")</f>
        <v xml:space="preserve"> </v>
      </c>
      <c r="F17" s="239"/>
      <c r="G17" s="532" t="s">
        <v>378</v>
      </c>
      <c r="H17" s="529" t="e">
        <f>'K13'!H121+Vermögen!J34</f>
        <v>#NUM!</v>
      </c>
      <c r="I17" s="239"/>
      <c r="J17" s="127"/>
    </row>
    <row r="18" spans="1:10" ht="15" thickBot="1" x14ac:dyDescent="0.25">
      <c r="A18" s="127"/>
      <c r="B18" s="239"/>
      <c r="C18" s="239"/>
      <c r="D18" s="239"/>
      <c r="E18" s="239"/>
      <c r="F18" s="239"/>
      <c r="G18" s="532" t="s">
        <v>379</v>
      </c>
      <c r="H18" s="529" t="e">
        <f>'K14'!H121+Vermögen!K34</f>
        <v>#NUM!</v>
      </c>
      <c r="I18" s="239"/>
      <c r="J18" s="127"/>
    </row>
    <row r="19" spans="1:10" ht="15" thickBot="1" x14ac:dyDescent="0.25">
      <c r="A19" s="127"/>
      <c r="B19" s="1299" t="s">
        <v>398</v>
      </c>
      <c r="C19" s="1300"/>
      <c r="D19" s="1300"/>
      <c r="E19" s="526" t="str">
        <f>IF(BG!D2&lt;=BG!E2,'Berechnung KiZ'!J84,'Kiz ab Januar 2025'!K58)</f>
        <v xml:space="preserve"> </v>
      </c>
      <c r="F19" s="239"/>
      <c r="G19" s="533" t="s">
        <v>380</v>
      </c>
      <c r="H19" s="531" t="e">
        <f>'K15'!H121+Vermögen!L34</f>
        <v>#NUM!</v>
      </c>
      <c r="I19" s="239"/>
      <c r="J19" s="127"/>
    </row>
    <row r="20" spans="1:10" x14ac:dyDescent="0.2">
      <c r="A20" s="127"/>
      <c r="B20" s="1301" t="s">
        <v>399</v>
      </c>
      <c r="C20" s="810"/>
      <c r="D20" s="810"/>
      <c r="E20" s="529" t="str">
        <f>IF(BG!D2&lt;=BG!E2,'Berechnung KiZ'!J85,'Kiz ab Januar 2025'!K59)</f>
        <v xml:space="preserve"> </v>
      </c>
      <c r="F20" s="239"/>
      <c r="G20" s="239"/>
      <c r="H20" s="239"/>
      <c r="I20" s="239"/>
      <c r="J20" s="127"/>
    </row>
    <row r="21" spans="1:10" ht="15" thickBot="1" x14ac:dyDescent="0.25">
      <c r="A21" s="127"/>
      <c r="B21" s="1302" t="str">
        <f>IF(BG!D2&gt;BG!E2," ","Kinderzuschlag ab Januar 2020")</f>
        <v>Kinderzuschlag ab Januar 2020</v>
      </c>
      <c r="C21" s="1303"/>
      <c r="D21" s="1303"/>
      <c r="E21" s="531" t="str">
        <f>IF(BG!D2&lt;=BG!E2,'Berechnung KiZ'!J86," ")</f>
        <v xml:space="preserve"> </v>
      </c>
      <c r="F21" s="239"/>
      <c r="G21" s="239"/>
      <c r="H21" s="239"/>
      <c r="I21" s="239"/>
      <c r="J21" s="127"/>
    </row>
    <row r="22" spans="1:10" ht="15" thickBot="1" x14ac:dyDescent="0.25">
      <c r="A22" s="127"/>
      <c r="B22" s="239"/>
      <c r="C22" s="239"/>
      <c r="D22" s="239"/>
      <c r="E22" s="239"/>
      <c r="F22" s="239"/>
      <c r="G22" s="239"/>
      <c r="H22" s="239"/>
      <c r="I22" s="239"/>
      <c r="J22" s="127"/>
    </row>
    <row r="23" spans="1:10" x14ac:dyDescent="0.2">
      <c r="A23" s="127"/>
      <c r="B23" s="1289" t="s">
        <v>480</v>
      </c>
      <c r="C23" s="1290"/>
      <c r="D23" s="1291"/>
      <c r="E23" s="534">
        <f>IF(BG!D2&gt;BG!E2,SUM('Kiz ab Januar 2025'!C34:C35),SUM('Berechnung KiZ'!C39:C40))</f>
        <v>0</v>
      </c>
      <c r="F23" s="239"/>
      <c r="G23" s="239"/>
      <c r="H23" s="239"/>
      <c r="I23" s="239"/>
      <c r="J23" s="127"/>
    </row>
    <row r="24" spans="1:10" ht="15" thickBot="1" x14ac:dyDescent="0.25">
      <c r="A24" s="127"/>
      <c r="B24" s="1292" t="s">
        <v>478</v>
      </c>
      <c r="C24" s="1293"/>
      <c r="D24" s="1294"/>
      <c r="E24" s="531" t="str">
        <f>IF(BG!D2&gt;BG!E2,'Kiz ab Januar 2025'!C36,'Berechnung KiZ'!C41)</f>
        <v xml:space="preserve"> </v>
      </c>
      <c r="F24" s="239"/>
      <c r="G24" s="239"/>
      <c r="H24" s="239"/>
      <c r="I24" s="239"/>
      <c r="J24" s="127"/>
    </row>
    <row r="25" spans="1:10" ht="15" thickBot="1" x14ac:dyDescent="0.25">
      <c r="A25" s="127"/>
      <c r="B25" s="239"/>
      <c r="C25" s="239"/>
      <c r="D25" s="239"/>
      <c r="E25" s="239"/>
      <c r="F25" s="239"/>
      <c r="G25" s="239"/>
      <c r="H25" s="239"/>
      <c r="I25" s="239"/>
      <c r="J25" s="127"/>
    </row>
    <row r="26" spans="1:10" ht="15" thickBot="1" x14ac:dyDescent="0.25">
      <c r="A26" s="127"/>
      <c r="B26" s="1295" t="s">
        <v>481</v>
      </c>
      <c r="C26" s="1296"/>
      <c r="D26" s="1296"/>
      <c r="E26" s="535">
        <f>Vermögen!E17</f>
        <v>0</v>
      </c>
      <c r="F26" s="239"/>
      <c r="G26" s="239"/>
      <c r="H26" s="239"/>
      <c r="I26" s="239"/>
      <c r="J26" s="127"/>
    </row>
    <row r="27" spans="1:10" x14ac:dyDescent="0.2">
      <c r="A27" s="127"/>
      <c r="B27" s="1297"/>
      <c r="C27" s="1298"/>
      <c r="D27" s="1298"/>
      <c r="E27" s="294"/>
      <c r="F27" s="239"/>
      <c r="G27" s="239"/>
      <c r="H27" s="239"/>
      <c r="I27" s="239"/>
      <c r="J27" s="127"/>
    </row>
    <row r="28" spans="1:10" x14ac:dyDescent="0.2">
      <c r="A28" s="127"/>
      <c r="B28" s="1297"/>
      <c r="C28" s="1298"/>
      <c r="D28" s="1298"/>
      <c r="E28" s="294"/>
      <c r="F28" s="239"/>
      <c r="G28" s="239"/>
      <c r="H28" s="239"/>
      <c r="I28" s="239"/>
      <c r="J28" s="127"/>
    </row>
    <row r="29" spans="1:10" x14ac:dyDescent="0.2">
      <c r="A29" s="127"/>
      <c r="B29" s="240"/>
      <c r="C29" s="240"/>
      <c r="D29" s="240"/>
      <c r="E29" s="240"/>
      <c r="F29" s="239"/>
      <c r="G29" s="239"/>
      <c r="H29" s="239"/>
      <c r="I29" s="239"/>
      <c r="J29" s="127"/>
    </row>
    <row r="30" spans="1:10" x14ac:dyDescent="0.2">
      <c r="A30" s="127"/>
      <c r="B30" s="239"/>
      <c r="C30" s="239"/>
      <c r="D30" s="239"/>
      <c r="E30" s="239"/>
      <c r="F30" s="239"/>
      <c r="G30" s="239"/>
      <c r="H30" s="239"/>
      <c r="I30" s="239"/>
      <c r="J30" s="127"/>
    </row>
    <row r="31" spans="1:10" x14ac:dyDescent="0.2">
      <c r="A31" s="127"/>
      <c r="B31" s="239"/>
      <c r="C31" s="239"/>
      <c r="D31" s="239"/>
      <c r="E31" s="239"/>
      <c r="F31" s="239"/>
      <c r="G31" s="239"/>
      <c r="H31" s="239"/>
      <c r="I31" s="239"/>
      <c r="J31" s="127"/>
    </row>
    <row r="32" spans="1:10" x14ac:dyDescent="0.2">
      <c r="A32" s="127"/>
      <c r="B32" s="239"/>
      <c r="C32" s="239"/>
      <c r="D32" s="239"/>
      <c r="E32" s="239"/>
      <c r="F32" s="239"/>
      <c r="G32" s="239"/>
      <c r="H32" s="239"/>
      <c r="I32" s="239"/>
      <c r="J32" s="127"/>
    </row>
    <row r="33" spans="1:10" x14ac:dyDescent="0.2">
      <c r="A33" s="127"/>
      <c r="B33" s="127"/>
      <c r="C33" s="127"/>
      <c r="D33" s="127"/>
      <c r="E33" s="127"/>
      <c r="F33" s="127"/>
      <c r="G33" s="127"/>
      <c r="H33" s="127"/>
      <c r="I33" s="127"/>
      <c r="J33" s="127"/>
    </row>
    <row r="34" spans="1:10" x14ac:dyDescent="0.2">
      <c r="A34" s="127"/>
      <c r="B34" s="127"/>
      <c r="C34" s="127"/>
      <c r="D34" s="127"/>
      <c r="E34" s="127"/>
      <c r="F34" s="127"/>
      <c r="G34" s="127"/>
      <c r="H34" s="127"/>
      <c r="I34" s="127"/>
      <c r="J34" s="127"/>
    </row>
    <row r="35" spans="1:10" x14ac:dyDescent="0.2">
      <c r="A35" s="127"/>
      <c r="B35" s="127"/>
      <c r="C35" s="127"/>
      <c r="D35" s="127"/>
      <c r="E35" s="127"/>
      <c r="F35" s="127"/>
      <c r="G35" s="127"/>
      <c r="H35" s="127"/>
      <c r="I35" s="127"/>
      <c r="J35" s="127"/>
    </row>
    <row r="36" spans="1:10" x14ac:dyDescent="0.2">
      <c r="A36" s="127"/>
      <c r="B36" s="127"/>
      <c r="C36" s="127"/>
      <c r="D36" s="127"/>
      <c r="E36" s="127"/>
      <c r="F36" s="127"/>
      <c r="G36" s="127"/>
      <c r="H36" s="127"/>
      <c r="I36" s="127"/>
      <c r="J36" s="127"/>
    </row>
    <row r="37" spans="1:10" x14ac:dyDescent="0.2">
      <c r="A37" s="127"/>
      <c r="B37" s="127"/>
      <c r="C37" s="127"/>
      <c r="D37" s="127"/>
      <c r="E37" s="127"/>
      <c r="F37" s="127"/>
      <c r="G37" s="127"/>
      <c r="H37" s="127"/>
      <c r="I37" s="127"/>
      <c r="J37" s="127"/>
    </row>
    <row r="38" spans="1:10" x14ac:dyDescent="0.2">
      <c r="A38" s="127"/>
      <c r="B38" s="127"/>
      <c r="C38" s="127"/>
      <c r="D38" s="127"/>
      <c r="E38" s="127"/>
      <c r="F38" s="127"/>
      <c r="G38" s="127"/>
      <c r="H38" s="127"/>
      <c r="I38" s="127"/>
      <c r="J38" s="127"/>
    </row>
    <row r="39" spans="1:10" x14ac:dyDescent="0.2">
      <c r="A39" s="127"/>
      <c r="B39" s="127"/>
      <c r="C39" s="127"/>
      <c r="D39" s="127"/>
      <c r="E39" s="127"/>
      <c r="F39" s="127"/>
      <c r="G39" s="127"/>
      <c r="H39" s="127"/>
      <c r="I39" s="127"/>
      <c r="J39" s="127"/>
    </row>
    <row r="40" spans="1:10" x14ac:dyDescent="0.2">
      <c r="A40" s="127"/>
      <c r="B40" s="127"/>
      <c r="C40" s="127"/>
      <c r="D40" s="127"/>
      <c r="E40" s="127"/>
      <c r="F40" s="127"/>
      <c r="G40" s="127"/>
      <c r="H40" s="127"/>
      <c r="I40" s="127"/>
      <c r="J40" s="127"/>
    </row>
    <row r="41" spans="1:10" x14ac:dyDescent="0.2">
      <c r="A41" s="127"/>
      <c r="B41" s="127"/>
      <c r="C41" s="127"/>
      <c r="D41" s="127"/>
      <c r="E41" s="127"/>
      <c r="F41" s="127"/>
      <c r="G41" s="127"/>
      <c r="H41" s="127"/>
      <c r="I41" s="127"/>
      <c r="J41" s="127"/>
    </row>
    <row r="42" spans="1:10" x14ac:dyDescent="0.2">
      <c r="A42" s="127"/>
      <c r="B42" s="127"/>
      <c r="C42" s="127"/>
      <c r="D42" s="127"/>
      <c r="E42" s="127"/>
      <c r="F42" s="127"/>
      <c r="G42" s="127"/>
      <c r="H42" s="127"/>
      <c r="I42" s="127"/>
      <c r="J42" s="127"/>
    </row>
    <row r="43" spans="1:10" x14ac:dyDescent="0.2">
      <c r="A43" s="127"/>
      <c r="B43" s="127"/>
      <c r="C43" s="127"/>
      <c r="D43" s="127"/>
      <c r="E43" s="127"/>
      <c r="F43" s="127"/>
      <c r="G43" s="127"/>
      <c r="H43" s="127"/>
      <c r="I43" s="127"/>
      <c r="J43" s="127"/>
    </row>
    <row r="44" spans="1:10" x14ac:dyDescent="0.2">
      <c r="A44" s="127"/>
      <c r="B44" s="127"/>
      <c r="C44" s="127"/>
      <c r="D44" s="127"/>
      <c r="E44" s="127"/>
      <c r="F44" s="127"/>
      <c r="G44" s="127"/>
      <c r="H44" s="127"/>
      <c r="I44" s="127"/>
      <c r="J44" s="127"/>
    </row>
    <row r="45" spans="1:10" x14ac:dyDescent="0.2">
      <c r="A45" s="127"/>
      <c r="B45" s="127"/>
      <c r="C45" s="127"/>
      <c r="D45" s="127"/>
      <c r="E45" s="127"/>
      <c r="F45" s="127"/>
      <c r="G45" s="127"/>
      <c r="H45" s="127"/>
      <c r="I45" s="127"/>
      <c r="J45" s="127"/>
    </row>
    <row r="46" spans="1:10" x14ac:dyDescent="0.2">
      <c r="A46" s="127"/>
      <c r="B46" s="127"/>
      <c r="C46" s="127"/>
      <c r="D46" s="127"/>
      <c r="E46" s="127"/>
      <c r="F46" s="127"/>
      <c r="G46" s="127"/>
      <c r="H46" s="127"/>
      <c r="I46" s="127"/>
      <c r="J46" s="127"/>
    </row>
    <row r="47" spans="1:10" x14ac:dyDescent="0.2">
      <c r="A47" s="127"/>
      <c r="B47" s="127"/>
      <c r="C47" s="127"/>
      <c r="D47" s="127"/>
      <c r="E47" s="127"/>
      <c r="F47" s="127"/>
      <c r="G47" s="127"/>
      <c r="H47" s="127"/>
      <c r="I47" s="127"/>
      <c r="J47" s="127"/>
    </row>
    <row r="48" spans="1:10" x14ac:dyDescent="0.2">
      <c r="A48" s="127"/>
      <c r="B48" s="127"/>
      <c r="C48" s="127"/>
      <c r="D48" s="127"/>
      <c r="E48" s="127"/>
      <c r="F48" s="127"/>
      <c r="G48" s="127"/>
      <c r="H48" s="127"/>
      <c r="I48" s="127"/>
      <c r="J48" s="127"/>
    </row>
    <row r="49" spans="1:10" x14ac:dyDescent="0.2">
      <c r="A49" s="127"/>
      <c r="B49" s="127"/>
      <c r="C49" s="127"/>
      <c r="D49" s="127"/>
      <c r="E49" s="127"/>
      <c r="F49" s="127"/>
      <c r="G49" s="127"/>
      <c r="H49" s="127"/>
      <c r="I49" s="127"/>
      <c r="J49" s="127"/>
    </row>
    <row r="50" spans="1:10" x14ac:dyDescent="0.2">
      <c r="A50" s="127"/>
      <c r="B50" s="127"/>
      <c r="C50" s="127"/>
      <c r="D50" s="127"/>
      <c r="E50" s="127"/>
      <c r="F50" s="127"/>
      <c r="G50" s="127"/>
      <c r="H50" s="127"/>
      <c r="I50" s="127"/>
      <c r="J50" s="127"/>
    </row>
    <row r="51" spans="1:10" x14ac:dyDescent="0.2">
      <c r="A51" s="127"/>
      <c r="B51" s="127"/>
      <c r="C51" s="127"/>
      <c r="D51" s="127"/>
      <c r="E51" s="127"/>
      <c r="F51" s="127"/>
      <c r="G51" s="127"/>
      <c r="H51" s="127"/>
      <c r="I51" s="127"/>
      <c r="J51" s="127"/>
    </row>
    <row r="52" spans="1:10" x14ac:dyDescent="0.2">
      <c r="A52" s="127"/>
      <c r="B52" s="127"/>
      <c r="C52" s="127"/>
      <c r="D52" s="127"/>
      <c r="E52" s="127"/>
      <c r="F52" s="127"/>
      <c r="G52" s="127"/>
      <c r="H52" s="127"/>
      <c r="I52" s="127"/>
      <c r="J52" s="127"/>
    </row>
    <row r="53" spans="1:10" x14ac:dyDescent="0.2">
      <c r="A53" s="127"/>
      <c r="B53" s="127"/>
      <c r="C53" s="127"/>
      <c r="D53" s="127"/>
      <c r="E53" s="127"/>
      <c r="F53" s="127"/>
      <c r="G53" s="127"/>
      <c r="H53" s="127"/>
      <c r="I53" s="127"/>
      <c r="J53" s="127"/>
    </row>
    <row r="54" spans="1:10" x14ac:dyDescent="0.2">
      <c r="A54" s="127"/>
      <c r="B54" s="127"/>
      <c r="C54" s="127"/>
      <c r="D54" s="127"/>
      <c r="E54" s="127"/>
      <c r="F54" s="127"/>
      <c r="G54" s="127"/>
      <c r="H54" s="127"/>
      <c r="I54" s="127"/>
      <c r="J54" s="127"/>
    </row>
    <row r="55" spans="1:10" x14ac:dyDescent="0.2">
      <c r="A55" s="127"/>
      <c r="B55" s="127"/>
      <c r="C55" s="127"/>
      <c r="D55" s="127"/>
      <c r="E55" s="127"/>
      <c r="F55" s="127"/>
      <c r="G55" s="127"/>
      <c r="H55" s="127"/>
      <c r="I55" s="127"/>
      <c r="J55" s="127"/>
    </row>
    <row r="56" spans="1:10" x14ac:dyDescent="0.2">
      <c r="A56" s="127"/>
      <c r="B56" s="127"/>
      <c r="C56" s="127"/>
      <c r="D56" s="127"/>
      <c r="E56" s="127"/>
      <c r="F56" s="127"/>
      <c r="G56" s="127"/>
      <c r="H56" s="127"/>
      <c r="I56" s="127"/>
      <c r="J56" s="127"/>
    </row>
    <row r="57" spans="1:10" x14ac:dyDescent="0.2">
      <c r="A57" s="127"/>
      <c r="B57" s="127"/>
      <c r="C57" s="127"/>
      <c r="D57" s="127"/>
      <c r="E57" s="127"/>
      <c r="F57" s="127"/>
      <c r="G57" s="127"/>
      <c r="H57" s="127"/>
      <c r="I57" s="127"/>
      <c r="J57" s="127"/>
    </row>
    <row r="58" spans="1:10" x14ac:dyDescent="0.2">
      <c r="A58" s="127"/>
      <c r="B58" s="127"/>
      <c r="C58" s="127"/>
      <c r="D58" s="127"/>
      <c r="E58" s="127"/>
      <c r="F58" s="127"/>
      <c r="G58" s="127"/>
      <c r="H58" s="127"/>
      <c r="I58" s="127"/>
      <c r="J58" s="127"/>
    </row>
    <row r="59" spans="1:10" x14ac:dyDescent="0.2">
      <c r="A59" s="127"/>
      <c r="B59" s="127"/>
      <c r="C59" s="127"/>
      <c r="D59" s="127"/>
      <c r="E59" s="127"/>
      <c r="F59" s="127"/>
      <c r="G59" s="127"/>
      <c r="H59" s="127"/>
      <c r="I59" s="127"/>
      <c r="J59" s="127"/>
    </row>
    <row r="60" spans="1:10" x14ac:dyDescent="0.2">
      <c r="A60" s="127"/>
      <c r="B60" s="127"/>
      <c r="C60" s="127"/>
      <c r="D60" s="127"/>
      <c r="E60" s="127"/>
      <c r="F60" s="127"/>
      <c r="G60" s="127"/>
      <c r="H60" s="127"/>
      <c r="I60" s="127"/>
      <c r="J60" s="127"/>
    </row>
    <row r="61" spans="1:10" x14ac:dyDescent="0.2">
      <c r="A61" s="127"/>
      <c r="B61" s="127"/>
      <c r="C61" s="127"/>
      <c r="D61" s="127"/>
      <c r="E61" s="127"/>
      <c r="F61" s="127"/>
      <c r="G61" s="127"/>
      <c r="H61" s="127"/>
      <c r="I61" s="127"/>
      <c r="J61" s="127"/>
    </row>
    <row r="62" spans="1:10" x14ac:dyDescent="0.2">
      <c r="A62" s="127"/>
      <c r="B62" s="127"/>
      <c r="C62" s="127"/>
      <c r="D62" s="127"/>
      <c r="E62" s="127"/>
      <c r="F62" s="127"/>
      <c r="G62" s="127"/>
      <c r="H62" s="127"/>
      <c r="I62" s="127"/>
      <c r="J62" s="127"/>
    </row>
    <row r="63" spans="1:10" x14ac:dyDescent="0.2">
      <c r="A63" s="127"/>
      <c r="B63" s="127"/>
      <c r="C63" s="127"/>
      <c r="D63" s="127"/>
      <c r="E63" s="127"/>
      <c r="F63" s="127"/>
      <c r="G63" s="127"/>
      <c r="H63" s="127"/>
      <c r="I63" s="127"/>
      <c r="J63" s="127"/>
    </row>
    <row r="64" spans="1:10" x14ac:dyDescent="0.2">
      <c r="A64" s="127"/>
      <c r="B64" s="127"/>
      <c r="C64" s="127"/>
      <c r="D64" s="127"/>
      <c r="E64" s="127"/>
      <c r="F64" s="127"/>
      <c r="G64" s="127"/>
      <c r="H64" s="127"/>
      <c r="I64" s="127"/>
      <c r="J64" s="127"/>
    </row>
    <row r="65" spans="1:10" x14ac:dyDescent="0.2">
      <c r="A65" s="127"/>
      <c r="B65" s="127"/>
      <c r="C65" s="127"/>
      <c r="D65" s="127"/>
      <c r="E65" s="127"/>
      <c r="F65" s="127"/>
      <c r="G65" s="127"/>
      <c r="H65" s="127"/>
      <c r="I65" s="127"/>
      <c r="J65" s="127"/>
    </row>
    <row r="66" spans="1:10" x14ac:dyDescent="0.2">
      <c r="A66" s="127"/>
      <c r="B66" s="127"/>
      <c r="C66" s="127"/>
      <c r="D66" s="127"/>
      <c r="E66" s="127"/>
      <c r="F66" s="127"/>
      <c r="G66" s="127"/>
      <c r="H66" s="127"/>
      <c r="I66" s="127"/>
      <c r="J66" s="127"/>
    </row>
    <row r="67" spans="1:10" x14ac:dyDescent="0.2">
      <c r="A67" s="127"/>
      <c r="B67" s="127"/>
      <c r="C67" s="127"/>
      <c r="D67" s="127"/>
      <c r="E67" s="127"/>
      <c r="F67" s="127"/>
      <c r="G67" s="127"/>
      <c r="H67" s="127"/>
      <c r="I67" s="127"/>
      <c r="J67" s="127"/>
    </row>
    <row r="68" spans="1:10" x14ac:dyDescent="0.2">
      <c r="A68" s="127"/>
      <c r="B68" s="127"/>
      <c r="C68" s="127"/>
      <c r="D68" s="127"/>
      <c r="E68" s="127"/>
      <c r="F68" s="127"/>
      <c r="G68" s="127"/>
      <c r="H68" s="127"/>
      <c r="I68" s="127"/>
      <c r="J68" s="127"/>
    </row>
    <row r="69" spans="1:10" x14ac:dyDescent="0.2">
      <c r="A69" s="127"/>
      <c r="B69" s="127"/>
      <c r="C69" s="127"/>
      <c r="D69" s="127"/>
      <c r="E69" s="127"/>
      <c r="F69" s="127"/>
      <c r="G69" s="127"/>
      <c r="H69" s="127"/>
      <c r="I69" s="127"/>
      <c r="J69" s="127"/>
    </row>
    <row r="70" spans="1:10" x14ac:dyDescent="0.2">
      <c r="A70" s="127"/>
      <c r="B70" s="127"/>
      <c r="C70" s="127"/>
      <c r="D70" s="127"/>
      <c r="E70" s="127"/>
      <c r="F70" s="127"/>
      <c r="G70" s="127"/>
      <c r="H70" s="127"/>
      <c r="I70" s="127"/>
      <c r="J70" s="127"/>
    </row>
    <row r="71" spans="1:10" x14ac:dyDescent="0.2">
      <c r="A71" s="127"/>
      <c r="B71" s="127"/>
      <c r="C71" s="127"/>
      <c r="D71" s="127"/>
      <c r="E71" s="127"/>
      <c r="F71" s="127"/>
      <c r="G71" s="127"/>
      <c r="H71" s="127"/>
      <c r="I71" s="127"/>
      <c r="J71" s="127"/>
    </row>
    <row r="72" spans="1:10" x14ac:dyDescent="0.2">
      <c r="A72" s="127"/>
      <c r="B72" s="127"/>
      <c r="C72" s="127"/>
      <c r="D72" s="127"/>
      <c r="E72" s="127"/>
      <c r="F72" s="127"/>
      <c r="G72" s="127"/>
      <c r="H72" s="127"/>
      <c r="I72" s="127"/>
      <c r="J72" s="127"/>
    </row>
    <row r="73" spans="1:10" x14ac:dyDescent="0.2">
      <c r="A73" s="127"/>
      <c r="B73" s="127"/>
      <c r="C73" s="127"/>
      <c r="D73" s="127"/>
      <c r="E73" s="127"/>
      <c r="F73" s="127"/>
      <c r="G73" s="127"/>
      <c r="H73" s="127"/>
      <c r="I73" s="127"/>
      <c r="J73" s="127"/>
    </row>
    <row r="74" spans="1:10" x14ac:dyDescent="0.2">
      <c r="A74" s="127"/>
      <c r="B74" s="127"/>
      <c r="C74" s="127"/>
      <c r="D74" s="127"/>
      <c r="E74" s="127"/>
      <c r="F74" s="127"/>
      <c r="G74" s="127"/>
      <c r="H74" s="127"/>
      <c r="I74" s="127"/>
      <c r="J74" s="127"/>
    </row>
    <row r="75" spans="1:10" x14ac:dyDescent="0.2">
      <c r="A75" s="127"/>
      <c r="B75" s="127"/>
      <c r="C75" s="127"/>
      <c r="D75" s="127"/>
      <c r="E75" s="127"/>
      <c r="F75" s="127"/>
      <c r="G75" s="127"/>
      <c r="H75" s="127"/>
      <c r="I75" s="127"/>
      <c r="J75" s="127"/>
    </row>
    <row r="76" spans="1:10" x14ac:dyDescent="0.2">
      <c r="A76" s="127"/>
      <c r="B76" s="127"/>
      <c r="C76" s="127"/>
      <c r="D76" s="127"/>
      <c r="E76" s="127"/>
      <c r="F76" s="127"/>
      <c r="G76" s="127"/>
      <c r="H76" s="127"/>
      <c r="I76" s="127"/>
      <c r="J76" s="127"/>
    </row>
    <row r="77" spans="1:10" x14ac:dyDescent="0.2">
      <c r="A77" s="127"/>
      <c r="B77" s="127"/>
      <c r="C77" s="127"/>
      <c r="D77" s="127"/>
      <c r="E77" s="127"/>
      <c r="F77" s="127"/>
      <c r="G77" s="127"/>
      <c r="H77" s="127"/>
      <c r="I77" s="127"/>
      <c r="J77" s="127"/>
    </row>
    <row r="78" spans="1:10" x14ac:dyDescent="0.2">
      <c r="A78" s="127"/>
      <c r="B78" s="127"/>
      <c r="C78" s="127"/>
      <c r="D78" s="127"/>
      <c r="E78" s="127"/>
      <c r="F78" s="127"/>
      <c r="G78" s="127"/>
      <c r="H78" s="127"/>
      <c r="I78" s="127"/>
      <c r="J78" s="127"/>
    </row>
    <row r="79" spans="1:10" x14ac:dyDescent="0.2">
      <c r="A79" s="127"/>
      <c r="B79" s="127"/>
      <c r="C79" s="127"/>
      <c r="D79" s="127"/>
      <c r="E79" s="127"/>
      <c r="F79" s="127"/>
      <c r="G79" s="127"/>
      <c r="H79" s="127"/>
      <c r="I79" s="127"/>
      <c r="J79" s="127"/>
    </row>
    <row r="80" spans="1:10" x14ac:dyDescent="0.2">
      <c r="A80" s="127"/>
      <c r="B80" s="127"/>
      <c r="C80" s="127"/>
      <c r="D80" s="127"/>
      <c r="E80" s="127"/>
      <c r="F80" s="127"/>
      <c r="G80" s="127"/>
      <c r="H80" s="127"/>
      <c r="I80" s="127"/>
      <c r="J80" s="127"/>
    </row>
    <row r="81" spans="1:10" x14ac:dyDescent="0.2">
      <c r="A81" s="127"/>
      <c r="B81" s="127"/>
      <c r="C81" s="127"/>
      <c r="D81" s="127"/>
      <c r="E81" s="127"/>
      <c r="F81" s="127"/>
      <c r="G81" s="127"/>
      <c r="H81" s="127"/>
      <c r="I81" s="127"/>
      <c r="J81" s="127"/>
    </row>
    <row r="82" spans="1:10" x14ac:dyDescent="0.2">
      <c r="A82" s="127"/>
      <c r="B82" s="127"/>
      <c r="C82" s="127"/>
      <c r="D82" s="127"/>
      <c r="E82" s="127"/>
      <c r="F82" s="127"/>
      <c r="G82" s="127"/>
      <c r="H82" s="127"/>
      <c r="I82" s="127"/>
      <c r="J82" s="127"/>
    </row>
    <row r="83" spans="1:10" x14ac:dyDescent="0.2">
      <c r="A83" s="127"/>
      <c r="B83" s="127"/>
      <c r="C83" s="127"/>
      <c r="D83" s="127"/>
      <c r="E83" s="127"/>
      <c r="F83" s="127"/>
      <c r="G83" s="127"/>
      <c r="H83" s="127"/>
      <c r="I83" s="127"/>
      <c r="J83" s="127"/>
    </row>
    <row r="84" spans="1:10" x14ac:dyDescent="0.2">
      <c r="A84" s="127"/>
      <c r="B84" s="127"/>
      <c r="C84" s="127"/>
      <c r="D84" s="127"/>
      <c r="E84" s="127"/>
      <c r="F84" s="127"/>
      <c r="G84" s="127"/>
      <c r="H84" s="127"/>
      <c r="I84" s="127"/>
      <c r="J84" s="127"/>
    </row>
    <row r="85" spans="1:10" x14ac:dyDescent="0.2">
      <c r="A85" s="127"/>
      <c r="B85" s="127"/>
      <c r="C85" s="127"/>
      <c r="D85" s="127"/>
      <c r="E85" s="127"/>
      <c r="F85" s="127"/>
      <c r="G85" s="127"/>
      <c r="H85" s="127"/>
      <c r="I85" s="127"/>
      <c r="J85" s="127"/>
    </row>
    <row r="86" spans="1:10" x14ac:dyDescent="0.2">
      <c r="A86" s="127"/>
      <c r="B86" s="127"/>
      <c r="C86" s="127"/>
      <c r="D86" s="127"/>
      <c r="E86" s="127"/>
      <c r="F86" s="127"/>
      <c r="G86" s="127"/>
      <c r="H86" s="127"/>
      <c r="I86" s="127"/>
      <c r="J86" s="127"/>
    </row>
    <row r="87" spans="1:10" x14ac:dyDescent="0.2">
      <c r="A87" s="127"/>
      <c r="B87" s="127"/>
      <c r="C87" s="127"/>
      <c r="D87" s="127"/>
      <c r="E87" s="127"/>
      <c r="F87" s="127"/>
      <c r="G87" s="127"/>
      <c r="H87" s="127"/>
      <c r="I87" s="127"/>
      <c r="J87" s="127"/>
    </row>
    <row r="88" spans="1:10" x14ac:dyDescent="0.2">
      <c r="A88" s="127"/>
      <c r="B88" s="127"/>
      <c r="C88" s="127"/>
      <c r="D88" s="127"/>
      <c r="E88" s="127"/>
      <c r="F88" s="127"/>
      <c r="G88" s="127"/>
      <c r="H88" s="127"/>
      <c r="I88" s="127"/>
      <c r="J88" s="127"/>
    </row>
    <row r="89" spans="1:10" x14ac:dyDescent="0.2">
      <c r="A89" s="127"/>
      <c r="B89" s="127"/>
      <c r="C89" s="127"/>
      <c r="D89" s="127"/>
      <c r="E89" s="127"/>
      <c r="F89" s="127"/>
      <c r="G89" s="127"/>
      <c r="H89" s="127"/>
      <c r="I89" s="127"/>
      <c r="J89" s="127"/>
    </row>
    <row r="90" spans="1:10" x14ac:dyDescent="0.2">
      <c r="A90" s="127"/>
      <c r="B90" s="127"/>
      <c r="C90" s="127"/>
      <c r="D90" s="127"/>
      <c r="E90" s="127"/>
      <c r="F90" s="127"/>
      <c r="G90" s="127"/>
      <c r="H90" s="127"/>
      <c r="I90" s="127"/>
      <c r="J90" s="127"/>
    </row>
    <row r="91" spans="1:10" x14ac:dyDescent="0.2">
      <c r="A91" s="127"/>
      <c r="B91" s="127"/>
      <c r="C91" s="127"/>
      <c r="D91" s="127"/>
      <c r="E91" s="127"/>
      <c r="F91" s="127"/>
      <c r="G91" s="127"/>
      <c r="H91" s="127"/>
      <c r="I91" s="127"/>
      <c r="J91" s="127"/>
    </row>
    <row r="92" spans="1:10" x14ac:dyDescent="0.2">
      <c r="A92" s="127"/>
      <c r="B92" s="127"/>
      <c r="C92" s="127"/>
      <c r="D92" s="127"/>
      <c r="E92" s="127"/>
      <c r="F92" s="127"/>
      <c r="G92" s="127"/>
      <c r="H92" s="127"/>
      <c r="I92" s="127"/>
      <c r="J92" s="127"/>
    </row>
    <row r="93" spans="1:10" x14ac:dyDescent="0.2">
      <c r="A93" s="127"/>
      <c r="B93" s="127"/>
      <c r="C93" s="127"/>
      <c r="D93" s="127"/>
      <c r="E93" s="127"/>
      <c r="F93" s="127"/>
      <c r="G93" s="127"/>
      <c r="H93" s="127"/>
      <c r="I93" s="127"/>
      <c r="J93" s="127"/>
    </row>
    <row r="94" spans="1:10" x14ac:dyDescent="0.2">
      <c r="A94" s="127"/>
      <c r="B94" s="127"/>
      <c r="C94" s="127"/>
      <c r="D94" s="127"/>
      <c r="E94" s="127"/>
      <c r="F94" s="127"/>
      <c r="G94" s="127"/>
      <c r="H94" s="127"/>
      <c r="I94" s="127"/>
      <c r="J94" s="127"/>
    </row>
    <row r="95" spans="1:10" x14ac:dyDescent="0.2">
      <c r="A95" s="127"/>
      <c r="B95" s="127"/>
      <c r="C95" s="127"/>
      <c r="D95" s="127"/>
      <c r="E95" s="127"/>
      <c r="F95" s="127"/>
      <c r="G95" s="127"/>
      <c r="H95" s="127"/>
      <c r="I95" s="127"/>
      <c r="J95" s="127"/>
    </row>
    <row r="96" spans="1:10" x14ac:dyDescent="0.2">
      <c r="A96" s="127"/>
      <c r="B96" s="127"/>
      <c r="C96" s="127"/>
      <c r="D96" s="127"/>
      <c r="E96" s="127"/>
      <c r="F96" s="127"/>
      <c r="G96" s="127"/>
      <c r="H96" s="127"/>
      <c r="I96" s="127"/>
      <c r="J96" s="127"/>
    </row>
    <row r="97" spans="1:10" x14ac:dyDescent="0.2">
      <c r="A97" s="127"/>
      <c r="B97" s="127"/>
      <c r="C97" s="127"/>
      <c r="D97" s="127"/>
      <c r="E97" s="127"/>
      <c r="F97" s="127"/>
      <c r="G97" s="127"/>
      <c r="H97" s="127"/>
      <c r="I97" s="127"/>
      <c r="J97" s="127"/>
    </row>
    <row r="98" spans="1:10" x14ac:dyDescent="0.2">
      <c r="A98" s="127"/>
      <c r="B98" s="127"/>
      <c r="C98" s="127"/>
      <c r="D98" s="127"/>
      <c r="E98" s="127"/>
      <c r="F98" s="127"/>
      <c r="G98" s="127"/>
      <c r="H98" s="127"/>
      <c r="I98" s="127"/>
      <c r="J98" s="127"/>
    </row>
    <row r="99" spans="1:10" x14ac:dyDescent="0.2">
      <c r="A99" s="127"/>
      <c r="B99" s="127"/>
      <c r="C99" s="127"/>
      <c r="D99" s="127"/>
      <c r="E99" s="127"/>
      <c r="F99" s="127"/>
      <c r="G99" s="127"/>
      <c r="H99" s="127"/>
      <c r="I99" s="127"/>
      <c r="J99" s="127"/>
    </row>
    <row r="100" spans="1:10" x14ac:dyDescent="0.2">
      <c r="A100" s="127"/>
      <c r="B100" s="127"/>
      <c r="C100" s="127"/>
      <c r="D100" s="127"/>
      <c r="E100" s="127"/>
      <c r="F100" s="127"/>
      <c r="G100" s="127"/>
      <c r="H100" s="127"/>
      <c r="I100" s="127"/>
      <c r="J100" s="127"/>
    </row>
    <row r="101" spans="1:10" x14ac:dyDescent="0.2">
      <c r="A101" s="127"/>
      <c r="B101" s="127"/>
      <c r="C101" s="127"/>
      <c r="D101" s="127"/>
      <c r="E101" s="127"/>
      <c r="F101" s="127"/>
      <c r="G101" s="127"/>
      <c r="H101" s="127"/>
      <c r="I101" s="127"/>
      <c r="J101" s="127"/>
    </row>
    <row r="102" spans="1:10" x14ac:dyDescent="0.2">
      <c r="A102" s="127"/>
      <c r="B102" s="127"/>
      <c r="C102" s="127"/>
      <c r="D102" s="127"/>
      <c r="E102" s="127"/>
      <c r="F102" s="127"/>
      <c r="G102" s="127"/>
      <c r="H102" s="127"/>
      <c r="I102" s="127"/>
      <c r="J102" s="127"/>
    </row>
    <row r="103" spans="1:10" x14ac:dyDescent="0.2">
      <c r="A103" s="127"/>
      <c r="B103" s="127"/>
      <c r="C103" s="127"/>
      <c r="D103" s="127"/>
      <c r="E103" s="127"/>
      <c r="F103" s="127"/>
      <c r="G103" s="127"/>
      <c r="H103" s="127"/>
      <c r="I103" s="127"/>
      <c r="J103" s="127"/>
    </row>
    <row r="104" spans="1:10" x14ac:dyDescent="0.2">
      <c r="A104" s="127"/>
      <c r="B104" s="127"/>
      <c r="C104" s="127"/>
      <c r="D104" s="127"/>
      <c r="E104" s="127"/>
      <c r="F104" s="127"/>
      <c r="G104" s="127"/>
      <c r="H104" s="127"/>
      <c r="I104" s="127"/>
      <c r="J104" s="127"/>
    </row>
    <row r="105" spans="1:10" x14ac:dyDescent="0.2">
      <c r="A105" s="127"/>
      <c r="B105" s="127"/>
      <c r="C105" s="127"/>
      <c r="D105" s="127"/>
      <c r="E105" s="127"/>
      <c r="F105" s="127"/>
      <c r="G105" s="127"/>
      <c r="H105" s="127"/>
      <c r="I105" s="127"/>
      <c r="J105" s="127"/>
    </row>
    <row r="106" spans="1:10" x14ac:dyDescent="0.2">
      <c r="A106" s="127"/>
      <c r="B106" s="127"/>
      <c r="C106" s="127"/>
      <c r="D106" s="127"/>
      <c r="E106" s="127"/>
      <c r="F106" s="127"/>
      <c r="G106" s="127"/>
      <c r="H106" s="127"/>
      <c r="I106" s="127"/>
      <c r="J106" s="127"/>
    </row>
    <row r="107" spans="1:10" x14ac:dyDescent="0.2">
      <c r="A107" s="127"/>
      <c r="B107" s="127"/>
      <c r="C107" s="127"/>
      <c r="D107" s="127"/>
      <c r="E107" s="127"/>
      <c r="F107" s="127"/>
      <c r="G107" s="127"/>
      <c r="H107" s="127"/>
      <c r="I107" s="127"/>
      <c r="J107" s="127"/>
    </row>
    <row r="108" spans="1:10" x14ac:dyDescent="0.2">
      <c r="A108" s="127"/>
      <c r="B108" s="127"/>
      <c r="C108" s="127"/>
      <c r="D108" s="127"/>
      <c r="E108" s="127"/>
      <c r="F108" s="127"/>
      <c r="G108" s="127"/>
      <c r="H108" s="127"/>
      <c r="I108" s="127"/>
      <c r="J108" s="127"/>
    </row>
    <row r="109" spans="1:10" x14ac:dyDescent="0.2">
      <c r="A109" s="127"/>
      <c r="B109" s="127"/>
      <c r="C109" s="127"/>
      <c r="D109" s="127"/>
      <c r="E109" s="127"/>
      <c r="F109" s="127"/>
      <c r="G109" s="127"/>
      <c r="H109" s="127"/>
      <c r="I109" s="127"/>
      <c r="J109" s="127"/>
    </row>
    <row r="110" spans="1:10" x14ac:dyDescent="0.2">
      <c r="A110" s="127"/>
      <c r="B110" s="127"/>
      <c r="C110" s="127"/>
      <c r="D110" s="127"/>
      <c r="E110" s="127"/>
      <c r="F110" s="127"/>
      <c r="G110" s="127"/>
      <c r="H110" s="127"/>
      <c r="I110" s="127"/>
      <c r="J110" s="127"/>
    </row>
    <row r="111" spans="1:10" x14ac:dyDescent="0.2">
      <c r="A111" s="127"/>
      <c r="B111" s="127"/>
      <c r="C111" s="127"/>
      <c r="D111" s="127"/>
      <c r="E111" s="127"/>
      <c r="F111" s="127"/>
      <c r="G111" s="127"/>
      <c r="H111" s="127"/>
      <c r="I111" s="127"/>
      <c r="J111" s="127"/>
    </row>
    <row r="112" spans="1:10" x14ac:dyDescent="0.2">
      <c r="A112" s="127"/>
      <c r="B112" s="127"/>
      <c r="C112" s="127"/>
      <c r="D112" s="127"/>
      <c r="E112" s="127"/>
      <c r="F112" s="127"/>
      <c r="G112" s="127"/>
      <c r="H112" s="127"/>
      <c r="I112" s="127"/>
      <c r="J112" s="127"/>
    </row>
    <row r="113" spans="1:10" x14ac:dyDescent="0.2">
      <c r="A113" s="127"/>
      <c r="B113" s="127"/>
      <c r="C113" s="127"/>
      <c r="D113" s="127"/>
      <c r="E113" s="127"/>
      <c r="F113" s="127"/>
      <c r="G113" s="127"/>
      <c r="H113" s="127"/>
      <c r="I113" s="127"/>
      <c r="J113" s="127"/>
    </row>
    <row r="114" spans="1:10" x14ac:dyDescent="0.2">
      <c r="A114" s="127"/>
      <c r="B114" s="127"/>
      <c r="C114" s="127"/>
      <c r="D114" s="127"/>
      <c r="E114" s="127"/>
      <c r="F114" s="127"/>
      <c r="G114" s="127"/>
      <c r="H114" s="127"/>
      <c r="I114" s="127"/>
      <c r="J114" s="127"/>
    </row>
    <row r="115" spans="1:10" x14ac:dyDescent="0.2">
      <c r="A115" s="127"/>
      <c r="B115" s="127"/>
      <c r="C115" s="127"/>
      <c r="D115" s="127"/>
      <c r="E115" s="127"/>
      <c r="F115" s="127"/>
      <c r="G115" s="127"/>
      <c r="H115" s="127"/>
      <c r="I115" s="127"/>
      <c r="J115" s="127"/>
    </row>
    <row r="116" spans="1:10" x14ac:dyDescent="0.2">
      <c r="A116" s="127"/>
      <c r="B116" s="127"/>
      <c r="C116" s="127"/>
      <c r="D116" s="127"/>
      <c r="E116" s="127"/>
      <c r="F116" s="127"/>
      <c r="G116" s="127"/>
      <c r="H116" s="127"/>
      <c r="I116" s="127"/>
      <c r="J116" s="127"/>
    </row>
    <row r="117" spans="1:10" x14ac:dyDescent="0.2">
      <c r="A117" s="127"/>
      <c r="B117" s="127"/>
      <c r="C117" s="127"/>
      <c r="D117" s="127"/>
      <c r="E117" s="127"/>
      <c r="F117" s="127"/>
      <c r="G117" s="127"/>
      <c r="H117" s="127"/>
      <c r="I117" s="127"/>
      <c r="J117" s="127"/>
    </row>
    <row r="118" spans="1:10" x14ac:dyDescent="0.2">
      <c r="A118" s="127"/>
      <c r="B118" s="127"/>
      <c r="C118" s="127"/>
      <c r="D118" s="127"/>
      <c r="E118" s="127"/>
      <c r="F118" s="127"/>
      <c r="G118" s="127"/>
      <c r="H118" s="127"/>
      <c r="I118" s="127"/>
      <c r="J118" s="127"/>
    </row>
    <row r="119" spans="1:10" x14ac:dyDescent="0.2">
      <c r="A119" s="127"/>
      <c r="B119" s="127"/>
      <c r="C119" s="127"/>
      <c r="D119" s="127"/>
      <c r="E119" s="127"/>
      <c r="F119" s="127"/>
      <c r="G119" s="127"/>
      <c r="H119" s="127"/>
      <c r="I119" s="127"/>
      <c r="J119" s="127"/>
    </row>
    <row r="120" spans="1:10" x14ac:dyDescent="0.2">
      <c r="A120" s="127"/>
      <c r="B120" s="127"/>
      <c r="C120" s="127"/>
      <c r="D120" s="127"/>
      <c r="E120" s="127"/>
      <c r="F120" s="127"/>
      <c r="G120" s="127"/>
      <c r="H120" s="127"/>
      <c r="I120" s="127"/>
      <c r="J120" s="127"/>
    </row>
    <row r="121" spans="1:10" x14ac:dyDescent="0.2">
      <c r="A121" s="127"/>
      <c r="B121" s="127"/>
      <c r="C121" s="127"/>
      <c r="D121" s="127"/>
      <c r="E121" s="127"/>
      <c r="F121" s="127"/>
      <c r="G121" s="127"/>
      <c r="H121" s="127"/>
      <c r="I121" s="127"/>
      <c r="J121" s="127"/>
    </row>
    <row r="122" spans="1:10" x14ac:dyDescent="0.2">
      <c r="A122" s="127"/>
      <c r="B122" s="127"/>
      <c r="C122" s="127"/>
      <c r="D122" s="127"/>
      <c r="E122" s="127"/>
      <c r="F122" s="127"/>
      <c r="G122" s="127"/>
      <c r="H122" s="127"/>
      <c r="I122" s="127"/>
      <c r="J122" s="127"/>
    </row>
    <row r="123" spans="1:10" x14ac:dyDescent="0.2">
      <c r="A123" s="127"/>
      <c r="B123" s="127"/>
      <c r="C123" s="127"/>
      <c r="D123" s="127"/>
      <c r="E123" s="127"/>
      <c r="F123" s="127"/>
      <c r="G123" s="127"/>
      <c r="H123" s="127"/>
      <c r="I123" s="127"/>
      <c r="J123" s="127"/>
    </row>
    <row r="124" spans="1:10" x14ac:dyDescent="0.2">
      <c r="A124" s="127"/>
      <c r="B124" s="127"/>
      <c r="C124" s="127"/>
      <c r="D124" s="127"/>
      <c r="E124" s="127"/>
      <c r="F124" s="127"/>
      <c r="G124" s="127"/>
      <c r="H124" s="127"/>
      <c r="I124" s="127"/>
      <c r="J124" s="127"/>
    </row>
    <row r="125" spans="1:10" x14ac:dyDescent="0.2">
      <c r="A125" s="127"/>
      <c r="B125" s="127"/>
      <c r="C125" s="127"/>
      <c r="D125" s="127"/>
      <c r="E125" s="127"/>
      <c r="F125" s="127"/>
      <c r="G125" s="127"/>
      <c r="H125" s="127"/>
      <c r="I125" s="127"/>
      <c r="J125" s="127"/>
    </row>
    <row r="126" spans="1:10" x14ac:dyDescent="0.2">
      <c r="A126" s="127"/>
      <c r="B126" s="127"/>
      <c r="C126" s="127"/>
      <c r="D126" s="127"/>
      <c r="E126" s="127"/>
      <c r="F126" s="127"/>
      <c r="G126" s="127"/>
      <c r="H126" s="127"/>
      <c r="I126" s="127"/>
      <c r="J126" s="127"/>
    </row>
    <row r="127" spans="1:10" x14ac:dyDescent="0.2">
      <c r="A127" s="127"/>
      <c r="B127" s="127"/>
      <c r="C127" s="127"/>
      <c r="D127" s="127"/>
      <c r="E127" s="127"/>
      <c r="F127" s="127"/>
      <c r="G127" s="127"/>
      <c r="H127" s="127"/>
      <c r="I127" s="127"/>
      <c r="J127" s="127"/>
    </row>
    <row r="128" spans="1:10" x14ac:dyDescent="0.2">
      <c r="A128" s="127"/>
      <c r="B128" s="127"/>
      <c r="C128" s="127"/>
      <c r="D128" s="127"/>
      <c r="E128" s="127"/>
      <c r="F128" s="127"/>
      <c r="G128" s="127"/>
      <c r="H128" s="127"/>
      <c r="I128" s="127"/>
      <c r="J128" s="127"/>
    </row>
    <row r="129" spans="1:10" x14ac:dyDescent="0.2">
      <c r="A129" s="127"/>
      <c r="B129" s="127"/>
      <c r="C129" s="127"/>
      <c r="D129" s="127"/>
      <c r="E129" s="127"/>
      <c r="F129" s="127"/>
      <c r="G129" s="127"/>
      <c r="H129" s="127"/>
      <c r="I129" s="127"/>
      <c r="J129" s="127"/>
    </row>
    <row r="130" spans="1:10" x14ac:dyDescent="0.2">
      <c r="A130" s="127"/>
      <c r="B130" s="127"/>
      <c r="C130" s="127"/>
      <c r="D130" s="127"/>
      <c r="E130" s="127"/>
      <c r="F130" s="127"/>
      <c r="G130" s="127"/>
      <c r="H130" s="127"/>
      <c r="I130" s="127"/>
      <c r="J130" s="127"/>
    </row>
    <row r="131" spans="1:10" x14ac:dyDescent="0.2">
      <c r="A131" s="127"/>
      <c r="B131" s="127"/>
      <c r="C131" s="127"/>
      <c r="D131" s="127"/>
      <c r="E131" s="127"/>
      <c r="F131" s="127"/>
      <c r="G131" s="127"/>
      <c r="H131" s="127"/>
      <c r="I131" s="127"/>
      <c r="J131" s="127"/>
    </row>
    <row r="132" spans="1:10" x14ac:dyDescent="0.2">
      <c r="A132" s="127"/>
      <c r="B132" s="127"/>
      <c r="C132" s="127"/>
      <c r="D132" s="127"/>
      <c r="E132" s="127"/>
      <c r="F132" s="127"/>
      <c r="G132" s="127"/>
      <c r="H132" s="127"/>
      <c r="I132" s="127"/>
      <c r="J132" s="127"/>
    </row>
    <row r="133" spans="1:10" x14ac:dyDescent="0.2">
      <c r="A133" s="127"/>
      <c r="B133" s="127"/>
      <c r="C133" s="127"/>
      <c r="D133" s="127"/>
      <c r="E133" s="127"/>
      <c r="F133" s="127"/>
      <c r="G133" s="127"/>
      <c r="H133" s="127"/>
      <c r="I133" s="127"/>
      <c r="J133" s="127"/>
    </row>
    <row r="134" spans="1:10" x14ac:dyDescent="0.2">
      <c r="A134" s="127"/>
      <c r="B134" s="127"/>
      <c r="C134" s="127"/>
      <c r="D134" s="127"/>
      <c r="E134" s="127"/>
      <c r="F134" s="127"/>
      <c r="G134" s="127"/>
      <c r="H134" s="127"/>
      <c r="I134" s="127"/>
      <c r="J134" s="127"/>
    </row>
    <row r="135" spans="1:10" x14ac:dyDescent="0.2">
      <c r="A135" s="127"/>
      <c r="B135" s="127"/>
      <c r="C135" s="127"/>
      <c r="D135" s="127"/>
      <c r="E135" s="127"/>
      <c r="F135" s="127"/>
      <c r="G135" s="127"/>
      <c r="H135" s="127"/>
      <c r="I135" s="127"/>
      <c r="J135" s="127"/>
    </row>
    <row r="136" spans="1:10" x14ac:dyDescent="0.2">
      <c r="A136" s="127"/>
      <c r="B136" s="127"/>
      <c r="C136" s="127"/>
      <c r="D136" s="127"/>
      <c r="E136" s="127"/>
      <c r="F136" s="127"/>
      <c r="G136" s="127"/>
      <c r="H136" s="127"/>
      <c r="I136" s="127"/>
      <c r="J136" s="127"/>
    </row>
    <row r="137" spans="1:10" x14ac:dyDescent="0.2">
      <c r="A137" s="127"/>
      <c r="B137" s="127"/>
      <c r="C137" s="127"/>
      <c r="D137" s="127"/>
      <c r="E137" s="127"/>
      <c r="F137" s="127"/>
      <c r="G137" s="127"/>
      <c r="H137" s="127"/>
      <c r="I137" s="127"/>
      <c r="J137" s="127"/>
    </row>
    <row r="138" spans="1:10" x14ac:dyDescent="0.2">
      <c r="A138" s="127"/>
      <c r="B138" s="127"/>
      <c r="C138" s="127"/>
      <c r="D138" s="127"/>
      <c r="E138" s="127"/>
      <c r="F138" s="127"/>
      <c r="G138" s="127"/>
      <c r="H138" s="127"/>
      <c r="I138" s="127"/>
      <c r="J138" s="127"/>
    </row>
    <row r="139" spans="1:10" x14ac:dyDescent="0.2">
      <c r="A139" s="127"/>
      <c r="B139" s="127"/>
      <c r="C139" s="127"/>
      <c r="D139" s="127"/>
      <c r="E139" s="127"/>
      <c r="F139" s="127"/>
      <c r="G139" s="127"/>
      <c r="H139" s="127"/>
      <c r="I139" s="127"/>
      <c r="J139" s="127"/>
    </row>
    <row r="140" spans="1:10" x14ac:dyDescent="0.2">
      <c r="A140" s="127"/>
      <c r="B140" s="127"/>
      <c r="C140" s="127"/>
      <c r="D140" s="127"/>
      <c r="E140" s="127"/>
      <c r="F140" s="127"/>
      <c r="G140" s="127"/>
      <c r="H140" s="127"/>
      <c r="I140" s="127"/>
      <c r="J140" s="127"/>
    </row>
    <row r="141" spans="1:10" x14ac:dyDescent="0.2">
      <c r="A141" s="127"/>
      <c r="B141" s="127"/>
      <c r="C141" s="127"/>
      <c r="D141" s="127"/>
      <c r="E141" s="127"/>
      <c r="F141" s="127"/>
      <c r="G141" s="127"/>
      <c r="H141" s="127"/>
      <c r="I141" s="127"/>
      <c r="J141" s="127"/>
    </row>
    <row r="142" spans="1:10" x14ac:dyDescent="0.2">
      <c r="A142" s="127"/>
      <c r="B142" s="127"/>
      <c r="C142" s="127"/>
      <c r="D142" s="127"/>
      <c r="E142" s="127"/>
      <c r="F142" s="127"/>
      <c r="G142" s="127"/>
      <c r="H142" s="127"/>
      <c r="I142" s="127"/>
      <c r="J142" s="127"/>
    </row>
    <row r="143" spans="1:10" x14ac:dyDescent="0.2">
      <c r="A143" s="127"/>
      <c r="B143" s="127"/>
      <c r="C143" s="127"/>
      <c r="D143" s="127"/>
      <c r="E143" s="127"/>
      <c r="F143" s="127"/>
      <c r="G143" s="127"/>
      <c r="H143" s="127"/>
      <c r="I143" s="127"/>
      <c r="J143" s="127"/>
    </row>
    <row r="144" spans="1:10" x14ac:dyDescent="0.2">
      <c r="A144" s="127"/>
      <c r="B144" s="127"/>
      <c r="C144" s="127"/>
      <c r="D144" s="127"/>
      <c r="E144" s="127"/>
      <c r="F144" s="127"/>
      <c r="G144" s="127"/>
      <c r="H144" s="127"/>
      <c r="I144" s="127"/>
      <c r="J144" s="127"/>
    </row>
    <row r="145" spans="1:10" x14ac:dyDescent="0.2">
      <c r="A145" s="127"/>
      <c r="B145" s="127"/>
      <c r="C145" s="127"/>
      <c r="D145" s="127"/>
      <c r="E145" s="127"/>
      <c r="F145" s="127"/>
      <c r="G145" s="127"/>
      <c r="H145" s="127"/>
      <c r="I145" s="127"/>
      <c r="J145" s="127"/>
    </row>
    <row r="146" spans="1:10" x14ac:dyDescent="0.2">
      <c r="A146" s="127"/>
      <c r="B146" s="127"/>
      <c r="C146" s="127"/>
      <c r="D146" s="127"/>
      <c r="E146" s="127"/>
      <c r="F146" s="127"/>
      <c r="G146" s="127"/>
      <c r="H146" s="127"/>
      <c r="I146" s="127"/>
      <c r="J146" s="127"/>
    </row>
    <row r="147" spans="1:10" x14ac:dyDescent="0.2">
      <c r="A147" s="127"/>
      <c r="B147" s="127"/>
      <c r="C147" s="127"/>
      <c r="D147" s="127"/>
      <c r="E147" s="127"/>
      <c r="F147" s="127"/>
      <c r="G147" s="127"/>
      <c r="H147" s="127"/>
      <c r="I147" s="127"/>
      <c r="J147" s="127"/>
    </row>
    <row r="148" spans="1:10" x14ac:dyDescent="0.2">
      <c r="A148" s="127"/>
      <c r="B148" s="127"/>
      <c r="C148" s="127"/>
      <c r="D148" s="127"/>
      <c r="E148" s="127"/>
      <c r="F148" s="127"/>
      <c r="G148" s="127"/>
      <c r="H148" s="127"/>
      <c r="I148" s="127"/>
      <c r="J148" s="127"/>
    </row>
    <row r="149" spans="1:10" x14ac:dyDescent="0.2">
      <c r="A149" s="127"/>
      <c r="B149" s="127"/>
      <c r="C149" s="127"/>
      <c r="D149" s="127"/>
      <c r="E149" s="127"/>
      <c r="F149" s="127"/>
      <c r="G149" s="127"/>
      <c r="H149" s="127"/>
      <c r="I149" s="127"/>
      <c r="J149" s="127"/>
    </row>
    <row r="150" spans="1:10" x14ac:dyDescent="0.2">
      <c r="A150" s="127"/>
      <c r="B150" s="127"/>
      <c r="C150" s="127"/>
      <c r="D150" s="127"/>
      <c r="E150" s="127"/>
      <c r="F150" s="127"/>
      <c r="G150" s="127"/>
      <c r="H150" s="127"/>
      <c r="I150" s="127"/>
      <c r="J150" s="127"/>
    </row>
    <row r="151" spans="1:10" x14ac:dyDescent="0.2">
      <c r="A151" s="127"/>
      <c r="B151" s="127"/>
      <c r="C151" s="127"/>
      <c r="D151" s="127"/>
      <c r="E151" s="127"/>
      <c r="F151" s="127"/>
      <c r="G151" s="127"/>
      <c r="H151" s="127"/>
      <c r="I151" s="127"/>
      <c r="J151" s="127"/>
    </row>
    <row r="152" spans="1:10" x14ac:dyDescent="0.2">
      <c r="A152" s="127"/>
      <c r="B152" s="127"/>
      <c r="C152" s="127"/>
      <c r="D152" s="127"/>
      <c r="E152" s="127"/>
      <c r="F152" s="127"/>
      <c r="G152" s="127"/>
      <c r="H152" s="127"/>
      <c r="I152" s="127"/>
      <c r="J152" s="127"/>
    </row>
    <row r="153" spans="1:10" x14ac:dyDescent="0.2">
      <c r="A153" s="127"/>
      <c r="B153" s="127"/>
      <c r="C153" s="127"/>
      <c r="D153" s="127"/>
      <c r="E153" s="127"/>
      <c r="F153" s="127"/>
      <c r="G153" s="127"/>
      <c r="H153" s="127"/>
      <c r="I153" s="127"/>
      <c r="J153" s="127"/>
    </row>
    <row r="154" spans="1:10" x14ac:dyDescent="0.2">
      <c r="A154" s="127"/>
      <c r="B154" s="127"/>
      <c r="C154" s="127"/>
      <c r="D154" s="127"/>
      <c r="E154" s="127"/>
      <c r="F154" s="127"/>
      <c r="G154" s="127"/>
      <c r="H154" s="127"/>
      <c r="I154" s="127"/>
      <c r="J154" s="127"/>
    </row>
    <row r="155" spans="1:10" x14ac:dyDescent="0.2">
      <c r="A155" s="127"/>
      <c r="B155" s="127"/>
      <c r="C155" s="127"/>
      <c r="D155" s="127"/>
      <c r="E155" s="127"/>
      <c r="F155" s="127"/>
      <c r="G155" s="127"/>
      <c r="H155" s="127"/>
      <c r="I155" s="127"/>
      <c r="J155" s="127"/>
    </row>
    <row r="156" spans="1:10" x14ac:dyDescent="0.2">
      <c r="A156" s="127"/>
      <c r="B156" s="127"/>
      <c r="C156" s="127"/>
      <c r="D156" s="127"/>
      <c r="E156" s="127"/>
      <c r="F156" s="127"/>
      <c r="G156" s="127"/>
      <c r="H156" s="127"/>
      <c r="I156" s="127"/>
      <c r="J156" s="127"/>
    </row>
    <row r="157" spans="1:10" x14ac:dyDescent="0.2">
      <c r="A157" s="127"/>
      <c r="B157" s="127"/>
      <c r="C157" s="127"/>
      <c r="D157" s="127"/>
      <c r="E157" s="127"/>
      <c r="F157" s="127"/>
      <c r="G157" s="127"/>
      <c r="H157" s="127"/>
      <c r="I157" s="127"/>
      <c r="J157" s="127"/>
    </row>
    <row r="158" spans="1:10" x14ac:dyDescent="0.2">
      <c r="A158" s="127"/>
      <c r="B158" s="127"/>
      <c r="C158" s="127"/>
      <c r="D158" s="127"/>
      <c r="E158" s="127"/>
      <c r="F158" s="127"/>
      <c r="G158" s="127"/>
      <c r="H158" s="127"/>
      <c r="I158" s="127"/>
      <c r="J158" s="127"/>
    </row>
    <row r="159" spans="1:10" x14ac:dyDescent="0.2">
      <c r="A159" s="127"/>
      <c r="B159" s="127"/>
      <c r="C159" s="127"/>
      <c r="D159" s="127"/>
      <c r="E159" s="127"/>
      <c r="F159" s="127"/>
      <c r="G159" s="127"/>
      <c r="H159" s="127"/>
      <c r="I159" s="127"/>
      <c r="J159" s="127"/>
    </row>
    <row r="160" spans="1:10" x14ac:dyDescent="0.2">
      <c r="A160" s="127"/>
      <c r="B160" s="127"/>
      <c r="C160" s="127"/>
      <c r="D160" s="127"/>
      <c r="E160" s="127"/>
      <c r="F160" s="127"/>
      <c r="G160" s="127"/>
      <c r="H160" s="127"/>
      <c r="I160" s="127"/>
      <c r="J160" s="127"/>
    </row>
    <row r="161" spans="1:10" x14ac:dyDescent="0.2">
      <c r="A161" s="127"/>
      <c r="B161" s="127"/>
      <c r="C161" s="127"/>
      <c r="D161" s="127"/>
      <c r="E161" s="127"/>
      <c r="F161" s="127"/>
      <c r="G161" s="127"/>
      <c r="H161" s="127"/>
      <c r="I161" s="127"/>
      <c r="J161" s="127"/>
    </row>
    <row r="162" spans="1:10" x14ac:dyDescent="0.2">
      <c r="A162" s="127"/>
      <c r="B162" s="127"/>
      <c r="C162" s="127"/>
      <c r="D162" s="127"/>
      <c r="E162" s="127"/>
      <c r="F162" s="127"/>
      <c r="G162" s="127"/>
      <c r="H162" s="127"/>
      <c r="I162" s="127"/>
      <c r="J162" s="127"/>
    </row>
    <row r="163" spans="1:10" x14ac:dyDescent="0.2">
      <c r="A163" s="127"/>
      <c r="B163" s="127"/>
      <c r="C163" s="127"/>
      <c r="D163" s="127"/>
      <c r="E163" s="127"/>
      <c r="F163" s="127"/>
      <c r="G163" s="127"/>
      <c r="H163" s="127"/>
      <c r="I163" s="127"/>
      <c r="J163" s="127"/>
    </row>
    <row r="164" spans="1:10" x14ac:dyDescent="0.2">
      <c r="A164" s="127"/>
      <c r="B164" s="127"/>
      <c r="C164" s="127"/>
      <c r="D164" s="127"/>
      <c r="E164" s="127"/>
      <c r="F164" s="127"/>
      <c r="G164" s="127"/>
      <c r="H164" s="127"/>
      <c r="I164" s="127"/>
      <c r="J164" s="127"/>
    </row>
    <row r="165" spans="1:10" x14ac:dyDescent="0.2">
      <c r="A165" s="127"/>
      <c r="B165" s="127"/>
      <c r="C165" s="127"/>
      <c r="D165" s="127"/>
      <c r="E165" s="127"/>
      <c r="F165" s="127"/>
      <c r="G165" s="127"/>
      <c r="H165" s="127"/>
      <c r="I165" s="127"/>
      <c r="J165" s="127"/>
    </row>
    <row r="166" spans="1:10" x14ac:dyDescent="0.2">
      <c r="A166" s="127"/>
      <c r="B166" s="127"/>
      <c r="C166" s="127"/>
      <c r="D166" s="127"/>
      <c r="E166" s="127"/>
      <c r="F166" s="127"/>
      <c r="G166" s="127"/>
      <c r="H166" s="127"/>
      <c r="I166" s="127"/>
      <c r="J166" s="127"/>
    </row>
    <row r="167" spans="1:10" x14ac:dyDescent="0.2">
      <c r="A167" s="127"/>
      <c r="B167" s="127"/>
      <c r="C167" s="127"/>
      <c r="D167" s="127"/>
      <c r="E167" s="127"/>
      <c r="F167" s="127"/>
      <c r="G167" s="127"/>
      <c r="H167" s="127"/>
      <c r="I167" s="127"/>
      <c r="J167" s="127"/>
    </row>
    <row r="168" spans="1:10" x14ac:dyDescent="0.2">
      <c r="A168" s="127"/>
      <c r="B168" s="127"/>
      <c r="C168" s="127"/>
      <c r="D168" s="127"/>
      <c r="E168" s="127"/>
      <c r="F168" s="127"/>
      <c r="G168" s="127"/>
      <c r="H168" s="127"/>
      <c r="I168" s="127"/>
      <c r="J168" s="127"/>
    </row>
    <row r="169" spans="1:10" x14ac:dyDescent="0.2">
      <c r="A169" s="127"/>
      <c r="B169" s="127"/>
      <c r="C169" s="127"/>
      <c r="D169" s="127"/>
      <c r="E169" s="127"/>
      <c r="F169" s="127"/>
      <c r="G169" s="127"/>
      <c r="H169" s="127"/>
      <c r="I169" s="127"/>
      <c r="J169" s="127"/>
    </row>
    <row r="170" spans="1:10" x14ac:dyDescent="0.2">
      <c r="A170" s="127"/>
      <c r="B170" s="127"/>
      <c r="C170" s="127"/>
      <c r="D170" s="127"/>
      <c r="E170" s="127"/>
      <c r="F170" s="127"/>
      <c r="G170" s="127"/>
      <c r="H170" s="127"/>
      <c r="I170" s="127"/>
      <c r="J170" s="127"/>
    </row>
    <row r="171" spans="1:10" x14ac:dyDescent="0.2">
      <c r="A171" s="127"/>
      <c r="B171" s="127"/>
      <c r="C171" s="127"/>
      <c r="D171" s="127"/>
      <c r="E171" s="127"/>
      <c r="F171" s="127"/>
      <c r="G171" s="127"/>
      <c r="H171" s="127"/>
      <c r="I171" s="127"/>
      <c r="J171" s="127"/>
    </row>
    <row r="172" spans="1:10" x14ac:dyDescent="0.2">
      <c r="A172" s="127"/>
      <c r="B172" s="127"/>
      <c r="C172" s="127"/>
      <c r="D172" s="127"/>
      <c r="E172" s="127"/>
      <c r="F172" s="127"/>
      <c r="G172" s="127"/>
      <c r="H172" s="127"/>
      <c r="I172" s="127"/>
      <c r="J172" s="127"/>
    </row>
    <row r="173" spans="1:10" x14ac:dyDescent="0.2">
      <c r="A173" s="127"/>
      <c r="B173" s="127"/>
      <c r="C173" s="127"/>
      <c r="D173" s="127"/>
      <c r="E173" s="127"/>
      <c r="F173" s="127"/>
      <c r="G173" s="127"/>
      <c r="H173" s="127"/>
      <c r="I173" s="127"/>
      <c r="J173" s="127"/>
    </row>
    <row r="174" spans="1:10" x14ac:dyDescent="0.2">
      <c r="A174" s="127"/>
      <c r="B174" s="127"/>
      <c r="C174" s="127"/>
      <c r="D174" s="127"/>
      <c r="E174" s="127"/>
      <c r="F174" s="127"/>
      <c r="G174" s="127"/>
      <c r="H174" s="127"/>
      <c r="I174" s="127"/>
      <c r="J174" s="127"/>
    </row>
    <row r="175" spans="1:10" x14ac:dyDescent="0.2">
      <c r="A175" s="127"/>
      <c r="B175" s="127"/>
      <c r="C175" s="127"/>
      <c r="D175" s="127"/>
      <c r="E175" s="127"/>
      <c r="F175" s="127"/>
      <c r="G175" s="127"/>
      <c r="H175" s="127"/>
      <c r="I175" s="127"/>
      <c r="J175" s="127"/>
    </row>
    <row r="176" spans="1:10" x14ac:dyDescent="0.2">
      <c r="A176" s="127"/>
      <c r="B176" s="127"/>
      <c r="C176" s="127"/>
      <c r="D176" s="127"/>
      <c r="E176" s="127"/>
      <c r="F176" s="127"/>
      <c r="G176" s="127"/>
      <c r="H176" s="127"/>
      <c r="I176" s="127"/>
      <c r="J176" s="127"/>
    </row>
    <row r="177" spans="1:10" x14ac:dyDescent="0.2">
      <c r="A177" s="127"/>
      <c r="B177" s="127"/>
      <c r="C177" s="127"/>
      <c r="D177" s="127"/>
      <c r="E177" s="127"/>
      <c r="F177" s="127"/>
      <c r="G177" s="127"/>
      <c r="H177" s="127"/>
      <c r="I177" s="127"/>
      <c r="J177" s="127"/>
    </row>
    <row r="178" spans="1:10" x14ac:dyDescent="0.2">
      <c r="A178" s="127"/>
      <c r="B178" s="127"/>
      <c r="C178" s="127"/>
      <c r="D178" s="127"/>
      <c r="E178" s="127"/>
      <c r="F178" s="127"/>
      <c r="G178" s="127"/>
      <c r="H178" s="127"/>
      <c r="I178" s="127"/>
      <c r="J178" s="127"/>
    </row>
    <row r="179" spans="1:10" x14ac:dyDescent="0.2">
      <c r="A179" s="127"/>
      <c r="B179" s="127"/>
      <c r="C179" s="127"/>
      <c r="D179" s="127"/>
      <c r="E179" s="127"/>
      <c r="F179" s="127"/>
      <c r="G179" s="127"/>
      <c r="H179" s="127"/>
      <c r="I179" s="127"/>
      <c r="J179" s="127"/>
    </row>
    <row r="180" spans="1:10" x14ac:dyDescent="0.2">
      <c r="A180" s="127"/>
      <c r="B180" s="127"/>
      <c r="C180" s="127"/>
      <c r="D180" s="127"/>
      <c r="E180" s="127"/>
      <c r="F180" s="127"/>
      <c r="G180" s="127"/>
      <c r="H180" s="127"/>
      <c r="I180" s="127"/>
      <c r="J180" s="127"/>
    </row>
    <row r="181" spans="1:10" x14ac:dyDescent="0.2">
      <c r="A181" s="127"/>
      <c r="B181" s="127"/>
      <c r="C181" s="127"/>
      <c r="D181" s="127"/>
      <c r="E181" s="127"/>
      <c r="F181" s="127"/>
      <c r="G181" s="127"/>
      <c r="H181" s="127"/>
      <c r="I181" s="127"/>
      <c r="J181" s="127"/>
    </row>
    <row r="182" spans="1:10" x14ac:dyDescent="0.2">
      <c r="A182" s="127"/>
      <c r="B182" s="127"/>
      <c r="C182" s="127"/>
      <c r="D182" s="127"/>
      <c r="E182" s="127"/>
      <c r="F182" s="127"/>
      <c r="G182" s="127"/>
      <c r="H182" s="127"/>
      <c r="I182" s="127"/>
      <c r="J182" s="127"/>
    </row>
    <row r="183" spans="1:10" x14ac:dyDescent="0.2">
      <c r="A183" s="127"/>
      <c r="B183" s="127"/>
      <c r="C183" s="127"/>
      <c r="D183" s="127"/>
      <c r="E183" s="127"/>
      <c r="F183" s="127"/>
      <c r="G183" s="127"/>
      <c r="H183" s="127"/>
      <c r="I183" s="127"/>
      <c r="J183" s="127"/>
    </row>
    <row r="184" spans="1:10" x14ac:dyDescent="0.2">
      <c r="A184" s="127"/>
      <c r="B184" s="127"/>
      <c r="C184" s="127"/>
      <c r="D184" s="127"/>
      <c r="E184" s="127"/>
      <c r="F184" s="127"/>
      <c r="G184" s="127"/>
      <c r="H184" s="127"/>
      <c r="I184" s="127"/>
      <c r="J184" s="127"/>
    </row>
    <row r="185" spans="1:10" x14ac:dyDescent="0.2">
      <c r="A185" s="127"/>
      <c r="B185" s="127"/>
      <c r="C185" s="127"/>
      <c r="D185" s="127"/>
      <c r="E185" s="127"/>
      <c r="F185" s="127"/>
      <c r="G185" s="127"/>
      <c r="H185" s="127"/>
      <c r="I185" s="127"/>
      <c r="J185" s="127"/>
    </row>
    <row r="186" spans="1:10" x14ac:dyDescent="0.2">
      <c r="A186" s="127"/>
      <c r="B186" s="127"/>
      <c r="C186" s="127"/>
      <c r="D186" s="127"/>
      <c r="E186" s="127"/>
      <c r="F186" s="127"/>
      <c r="G186" s="127"/>
      <c r="H186" s="127"/>
      <c r="I186" s="127"/>
      <c r="J186" s="127"/>
    </row>
    <row r="187" spans="1:10" x14ac:dyDescent="0.2">
      <c r="A187" s="127"/>
      <c r="B187" s="127"/>
      <c r="C187" s="127"/>
      <c r="D187" s="127"/>
      <c r="E187" s="127"/>
      <c r="F187" s="127"/>
      <c r="G187" s="127"/>
      <c r="H187" s="127"/>
      <c r="I187" s="127"/>
      <c r="J187" s="127"/>
    </row>
    <row r="188" spans="1:10" x14ac:dyDescent="0.2">
      <c r="A188" s="127"/>
      <c r="B188" s="127"/>
      <c r="C188" s="127"/>
      <c r="D188" s="127"/>
      <c r="E188" s="127"/>
      <c r="F188" s="127"/>
      <c r="G188" s="127"/>
      <c r="H188" s="127"/>
      <c r="I188" s="127"/>
      <c r="J188" s="127"/>
    </row>
    <row r="189" spans="1:10" x14ac:dyDescent="0.2">
      <c r="A189" s="127"/>
      <c r="B189" s="127"/>
      <c r="C189" s="127"/>
      <c r="D189" s="127"/>
      <c r="E189" s="127"/>
      <c r="F189" s="127"/>
      <c r="G189" s="127"/>
      <c r="H189" s="127"/>
      <c r="I189" s="127"/>
      <c r="J189" s="127"/>
    </row>
    <row r="190" spans="1:10" x14ac:dyDescent="0.2">
      <c r="A190" s="127"/>
      <c r="B190" s="127"/>
      <c r="C190" s="127"/>
      <c r="D190" s="127"/>
      <c r="E190" s="127"/>
      <c r="F190" s="127"/>
      <c r="G190" s="127"/>
      <c r="H190" s="127"/>
      <c r="I190" s="127"/>
      <c r="J190" s="127"/>
    </row>
    <row r="191" spans="1:10" x14ac:dyDescent="0.2">
      <c r="A191" s="127"/>
      <c r="B191" s="127"/>
      <c r="C191" s="127"/>
      <c r="D191" s="127"/>
      <c r="E191" s="127"/>
      <c r="F191" s="127"/>
      <c r="G191" s="127"/>
      <c r="H191" s="127"/>
      <c r="I191" s="127"/>
      <c r="J191" s="127"/>
    </row>
    <row r="192" spans="1:10" x14ac:dyDescent="0.2">
      <c r="A192" s="127"/>
      <c r="B192" s="127"/>
      <c r="C192" s="127"/>
      <c r="D192" s="127"/>
      <c r="E192" s="127"/>
      <c r="F192" s="127"/>
      <c r="G192" s="127"/>
      <c r="H192" s="127"/>
      <c r="I192" s="127"/>
      <c r="J192" s="127"/>
    </row>
    <row r="193" spans="1:10" x14ac:dyDescent="0.2">
      <c r="A193" s="127"/>
      <c r="B193" s="127"/>
      <c r="C193" s="127"/>
      <c r="D193" s="127"/>
      <c r="E193" s="127"/>
      <c r="F193" s="127"/>
      <c r="G193" s="127"/>
      <c r="H193" s="127"/>
      <c r="I193" s="127"/>
      <c r="J193" s="127"/>
    </row>
    <row r="194" spans="1:10" x14ac:dyDescent="0.2">
      <c r="A194" s="127"/>
      <c r="B194" s="127"/>
      <c r="C194" s="127"/>
      <c r="D194" s="127"/>
      <c r="E194" s="127"/>
      <c r="F194" s="127"/>
      <c r="G194" s="127"/>
      <c r="H194" s="127"/>
      <c r="I194" s="127"/>
      <c r="J194" s="127"/>
    </row>
    <row r="195" spans="1:10" x14ac:dyDescent="0.2">
      <c r="A195" s="127"/>
      <c r="B195" s="127"/>
      <c r="C195" s="127"/>
      <c r="D195" s="127"/>
      <c r="E195" s="127"/>
      <c r="F195" s="127"/>
      <c r="G195" s="127"/>
      <c r="H195" s="127"/>
      <c r="I195" s="127"/>
      <c r="J195" s="127"/>
    </row>
    <row r="196" spans="1:10" x14ac:dyDescent="0.2">
      <c r="A196" s="127"/>
      <c r="B196" s="127"/>
      <c r="C196" s="127"/>
      <c r="D196" s="127"/>
      <c r="E196" s="127"/>
      <c r="F196" s="127"/>
      <c r="G196" s="127"/>
      <c r="H196" s="127"/>
      <c r="I196" s="127"/>
      <c r="J196" s="127"/>
    </row>
    <row r="197" spans="1:10" x14ac:dyDescent="0.2">
      <c r="A197" s="127"/>
      <c r="B197" s="127"/>
      <c r="C197" s="127"/>
      <c r="D197" s="127"/>
      <c r="E197" s="127"/>
      <c r="F197" s="127"/>
      <c r="G197" s="127"/>
      <c r="H197" s="127"/>
      <c r="I197" s="127"/>
      <c r="J197" s="127"/>
    </row>
    <row r="198" spans="1:10" x14ac:dyDescent="0.2">
      <c r="A198" s="127"/>
      <c r="B198" s="127"/>
      <c r="C198" s="127"/>
      <c r="D198" s="127"/>
      <c r="E198" s="127"/>
      <c r="F198" s="127"/>
      <c r="G198" s="127"/>
      <c r="H198" s="127"/>
      <c r="I198" s="127"/>
      <c r="J198" s="127"/>
    </row>
    <row r="199" spans="1:10" x14ac:dyDescent="0.2">
      <c r="A199" s="127"/>
      <c r="B199" s="127"/>
      <c r="C199" s="127"/>
      <c r="D199" s="127"/>
      <c r="E199" s="127"/>
      <c r="F199" s="127"/>
      <c r="G199" s="127"/>
      <c r="H199" s="127"/>
      <c r="I199" s="127"/>
      <c r="J199" s="127"/>
    </row>
    <row r="200" spans="1:10" x14ac:dyDescent="0.2">
      <c r="A200" s="127"/>
      <c r="B200" s="127"/>
      <c r="C200" s="127"/>
      <c r="D200" s="127"/>
      <c r="E200" s="127"/>
      <c r="F200" s="127"/>
      <c r="G200" s="127"/>
      <c r="H200" s="127"/>
      <c r="I200" s="127"/>
      <c r="J200" s="127"/>
    </row>
    <row r="201" spans="1:10" x14ac:dyDescent="0.2">
      <c r="A201" s="127"/>
      <c r="B201" s="127"/>
      <c r="C201" s="127"/>
      <c r="D201" s="127"/>
      <c r="E201" s="127"/>
      <c r="F201" s="127"/>
      <c r="G201" s="127"/>
      <c r="H201" s="127"/>
      <c r="I201" s="127"/>
      <c r="J201" s="127"/>
    </row>
    <row r="202" spans="1:10" x14ac:dyDescent="0.2">
      <c r="A202" s="127"/>
      <c r="B202" s="127"/>
      <c r="C202" s="127"/>
      <c r="D202" s="127"/>
      <c r="E202" s="127"/>
      <c r="F202" s="127"/>
      <c r="G202" s="127"/>
      <c r="H202" s="127"/>
      <c r="I202" s="127"/>
      <c r="J202" s="127"/>
    </row>
    <row r="203" spans="1:10" x14ac:dyDescent="0.2">
      <c r="A203" s="127"/>
      <c r="B203" s="127"/>
      <c r="C203" s="127"/>
      <c r="D203" s="127"/>
      <c r="E203" s="127"/>
      <c r="F203" s="127"/>
      <c r="G203" s="127"/>
      <c r="H203" s="127"/>
      <c r="I203" s="127"/>
      <c r="J203" s="127"/>
    </row>
    <row r="204" spans="1:10" x14ac:dyDescent="0.2">
      <c r="A204" s="127"/>
      <c r="B204" s="127"/>
      <c r="C204" s="127"/>
      <c r="D204" s="127"/>
      <c r="E204" s="127"/>
      <c r="F204" s="127"/>
      <c r="G204" s="127"/>
      <c r="H204" s="127"/>
      <c r="I204" s="127"/>
      <c r="J204" s="127"/>
    </row>
    <row r="205" spans="1:10" x14ac:dyDescent="0.2">
      <c r="A205" s="127"/>
      <c r="B205" s="127"/>
      <c r="C205" s="127"/>
      <c r="D205" s="127"/>
      <c r="E205" s="127"/>
      <c r="F205" s="127"/>
      <c r="G205" s="127"/>
      <c r="H205" s="127"/>
      <c r="I205" s="127"/>
      <c r="J205" s="127"/>
    </row>
    <row r="206" spans="1:10" x14ac:dyDescent="0.2">
      <c r="A206" s="127"/>
      <c r="B206" s="127"/>
      <c r="C206" s="127"/>
      <c r="D206" s="127"/>
      <c r="E206" s="127"/>
      <c r="F206" s="127"/>
      <c r="G206" s="127"/>
      <c r="H206" s="127"/>
      <c r="I206" s="127"/>
      <c r="J206" s="127"/>
    </row>
    <row r="207" spans="1:10" x14ac:dyDescent="0.2">
      <c r="A207" s="127"/>
      <c r="B207" s="127"/>
      <c r="C207" s="127"/>
      <c r="D207" s="127"/>
      <c r="E207" s="127"/>
      <c r="F207" s="127"/>
      <c r="G207" s="127"/>
      <c r="H207" s="127"/>
      <c r="I207" s="127"/>
      <c r="J207" s="127"/>
    </row>
    <row r="208" spans="1:10" x14ac:dyDescent="0.2">
      <c r="A208" s="127"/>
      <c r="B208" s="127"/>
      <c r="C208" s="127"/>
      <c r="D208" s="127"/>
      <c r="E208" s="127"/>
      <c r="F208" s="127"/>
      <c r="G208" s="127"/>
      <c r="H208" s="127"/>
      <c r="I208" s="127"/>
      <c r="J208" s="127"/>
    </row>
    <row r="209" spans="1:10" x14ac:dyDescent="0.2">
      <c r="A209" s="127"/>
      <c r="B209" s="127"/>
      <c r="C209" s="127"/>
      <c r="D209" s="127"/>
      <c r="E209" s="127"/>
      <c r="F209" s="127"/>
      <c r="G209" s="127"/>
      <c r="H209" s="127"/>
      <c r="I209" s="127"/>
      <c r="J209" s="127"/>
    </row>
  </sheetData>
  <sheetProtection algorithmName="SHA-512" hashValue="de+LUxAvLTPYq2k9VL4ES2L0Syf/Y7HPymJsAsmcRP7EidOJo7rhwrC3OykOw6aMOUWTrMCjRZBgrV8s2eF87w==" saltValue="AhmFehb834KYR1xgECMwiw==" spinCount="100000" sheet="1" formatCells="0" formatColumns="0" formatRows="0" insertColumns="0" insertRows="0" insertHyperlinks="0" deleteColumns="0" deleteRows="0" sort="0" autoFilter="0" pivotTables="0"/>
  <mergeCells count="21">
    <mergeCell ref="B4:D4"/>
    <mergeCell ref="B5:D5"/>
    <mergeCell ref="B14:D14"/>
    <mergeCell ref="B15:D15"/>
    <mergeCell ref="B16:D16"/>
    <mergeCell ref="B6:D6"/>
    <mergeCell ref="B19:D19"/>
    <mergeCell ref="B20:D20"/>
    <mergeCell ref="B21:D21"/>
    <mergeCell ref="B7:D7"/>
    <mergeCell ref="B8:D8"/>
    <mergeCell ref="B9:D9"/>
    <mergeCell ref="B10:D10"/>
    <mergeCell ref="B11:D11"/>
    <mergeCell ref="B12:D12"/>
    <mergeCell ref="B17:D17"/>
    <mergeCell ref="B23:D23"/>
    <mergeCell ref="B24:D24"/>
    <mergeCell ref="B26:D26"/>
    <mergeCell ref="B27:D27"/>
    <mergeCell ref="B28:D28"/>
  </mergeCells>
  <pageMargins left="0.70866141732283472" right="0.70866141732283472" top="0.8666666666666667" bottom="0.78740157480314965" header="0.31496062992125984" footer="0.31496062992125984"/>
  <pageSetup paperSize="9" orientation="landscape" r:id="rId1"/>
  <headerFooter>
    <oddHeader>&amp;L&amp;"Arial,Fett"&amp;16&amp;UAuf einen Blick:&amp;11
&amp;R&amp;D</oddHead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0"/>
  <dimension ref="A1:J39"/>
  <sheetViews>
    <sheetView showGridLines="0" zoomScaleNormal="100" workbookViewId="0">
      <selection activeCell="F22" sqref="F22"/>
    </sheetView>
  </sheetViews>
  <sheetFormatPr baseColWidth="10" defaultRowHeight="14.25" x14ac:dyDescent="0.2"/>
  <cols>
    <col min="1" max="1" width="31.125" style="2" customWidth="1"/>
    <col min="2" max="3" width="11" style="2"/>
    <col min="4" max="4" width="29.375" style="2" customWidth="1"/>
    <col min="5" max="16384" width="11" style="2"/>
  </cols>
  <sheetData>
    <row r="1" spans="1:10" ht="28.5" customHeight="1" x14ac:dyDescent="0.25">
      <c r="A1" s="1304" t="s">
        <v>461</v>
      </c>
      <c r="B1" s="1305"/>
      <c r="C1" s="239"/>
      <c r="D1" s="1304" t="s">
        <v>462</v>
      </c>
      <c r="E1" s="1219"/>
      <c r="F1" s="211"/>
      <c r="G1" s="211"/>
      <c r="H1" s="211"/>
      <c r="I1" s="211"/>
      <c r="J1" s="211"/>
    </row>
    <row r="2" spans="1:10" ht="15" thickBot="1" x14ac:dyDescent="0.25">
      <c r="A2" s="239"/>
      <c r="B2" s="239"/>
      <c r="C2" s="239"/>
      <c r="D2" s="239"/>
      <c r="E2" s="239"/>
      <c r="F2" s="211"/>
      <c r="G2" s="211"/>
      <c r="H2" s="211"/>
      <c r="I2" s="211"/>
      <c r="J2" s="211"/>
    </row>
    <row r="3" spans="1:10" x14ac:dyDescent="0.2">
      <c r="A3" s="536" t="s">
        <v>463</v>
      </c>
      <c r="B3" s="537" t="str">
        <f>IF(BG!D2&lt;=BG!E2," ",IF(BG!D8="alleinerziehend",600,900))</f>
        <v xml:space="preserve"> </v>
      </c>
      <c r="C3" s="538"/>
      <c r="D3" s="539" t="s">
        <v>464</v>
      </c>
      <c r="E3" s="537" t="str">
        <f>IF(BG!D2&lt;=BG!E2," ",SUM(AS!I26,EP!I26))</f>
        <v xml:space="preserve"> </v>
      </c>
      <c r="F3" s="211"/>
      <c r="G3" s="211"/>
      <c r="H3" s="211"/>
      <c r="I3" s="211"/>
      <c r="J3" s="211"/>
    </row>
    <row r="4" spans="1:10" x14ac:dyDescent="0.2">
      <c r="A4" s="540" t="s">
        <v>465</v>
      </c>
      <c r="B4" s="541" t="str">
        <f>IF(BG!D2&lt;=BG!E2," ",IF(Bedarfe!H82-IF(B14=ISBLANK(0),0,B14)&lt;0,0,Bedarfe!H82-(IF(B14=ISBLANK(0),0,B14))))</f>
        <v xml:space="preserve"> </v>
      </c>
      <c r="C4" s="292"/>
      <c r="D4" s="542" t="s">
        <v>466</v>
      </c>
      <c r="E4" s="543" t="str">
        <f>IF(BG!D2&lt;=BG!E2," ",SUM(Datenblatt!A93:B94))</f>
        <v xml:space="preserve"> </v>
      </c>
      <c r="F4" s="209"/>
      <c r="G4" s="212"/>
      <c r="H4" s="209"/>
      <c r="I4" s="209"/>
      <c r="J4" s="211"/>
    </row>
    <row r="5" spans="1:10" x14ac:dyDescent="0.2">
      <c r="A5" s="540" t="s">
        <v>467</v>
      </c>
      <c r="B5" s="541" t="str">
        <f>IF(BG!D2&lt;=BG!E2," ",IF(BG!D2&gt;BG!E2,'Kiz ab Januar 2025'!K58,'Berechnung KiZ'!J84))</f>
        <v xml:space="preserve"> </v>
      </c>
      <c r="C5" s="292"/>
      <c r="D5" s="542" t="s">
        <v>299</v>
      </c>
      <c r="E5" s="543" t="str">
        <f>IF(BG!D2&lt;=BG!E2," ",Vermögen!E17)</f>
        <v xml:space="preserve"> </v>
      </c>
      <c r="F5" s="209"/>
      <c r="G5" s="208"/>
      <c r="H5" s="210"/>
      <c r="I5" s="209"/>
      <c r="J5" s="211"/>
    </row>
    <row r="6" spans="1:10" x14ac:dyDescent="0.2">
      <c r="A6" s="540" t="s">
        <v>395</v>
      </c>
      <c r="B6" s="541" t="str">
        <f>IF(BG!D2&lt;=BG!E2," ",Bedarfe!C77)</f>
        <v xml:space="preserve"> </v>
      </c>
      <c r="C6" s="292"/>
      <c r="D6" s="542" t="s">
        <v>395</v>
      </c>
      <c r="E6" s="543" t="str">
        <f>IF(BG!D2&lt;=BG!E2," ",Bedarfe!C77)</f>
        <v xml:space="preserve"> </v>
      </c>
      <c r="F6" s="209"/>
      <c r="G6" s="208"/>
      <c r="H6" s="210"/>
      <c r="I6" s="209"/>
      <c r="J6" s="211"/>
    </row>
    <row r="7" spans="1:10" x14ac:dyDescent="0.2">
      <c r="A7" s="540" t="s">
        <v>466</v>
      </c>
      <c r="B7" s="541" t="str">
        <f>IF(BG!D2&lt;=BG!E2," ",SUM(Datenblatt!A93:B94))</f>
        <v xml:space="preserve"> </v>
      </c>
      <c r="C7" s="292"/>
      <c r="D7" s="542" t="s">
        <v>465</v>
      </c>
      <c r="E7" s="543" t="str">
        <f>IF(BG!D2&lt;=BG!E2," ",IF(Bedarfe!H82-IF(B14=ISBLANK(0),0,B14)&lt;0,0,Bedarfe!H82-(IF(B14=ISBLANK(0),0,B14))))</f>
        <v xml:space="preserve"> </v>
      </c>
      <c r="F7" s="209"/>
      <c r="G7" s="208"/>
      <c r="H7" s="210"/>
      <c r="I7" s="209"/>
      <c r="J7" s="211"/>
    </row>
    <row r="8" spans="1:10" x14ac:dyDescent="0.2">
      <c r="A8" s="540" t="s">
        <v>299</v>
      </c>
      <c r="B8" s="541" t="str">
        <f>IF(BG!D2&lt;=BG!E2," ",Vermögen!E17)</f>
        <v xml:space="preserve"> </v>
      </c>
      <c r="C8" s="292"/>
      <c r="D8" s="542" t="s">
        <v>468</v>
      </c>
      <c r="E8" s="543" t="str">
        <f>IF(BG!D2&lt;=BG!E2," ",SUM(IF(Bedarfe!E28="ja",IF(SUM(Bedarfe!E18,Vermögen!G17,Bedarfe!E21)&gt;Bedarfe!E16,Bedarfe!E16-Bedarfe!E21,SUM(Bedarfe!E18,Vermögen!G17)),0),IF(Bedarfe!F28="ja",IF(SUM(Bedarfe!F18,Vermögen!H17,Bedarfe!F21)&gt;Bedarfe!F16,Bedarfe!F16-Bedarfe!F21,SUM(Bedarfe!F18,Vermögen!H17)),0),IF(Bedarfe!G28="ja",IF(SUM(Bedarfe!G18,Vermögen!I17,Bedarfe!G21)&gt;Bedarfe!G16,Bedarfe!G16-Bedarfe!G21,SUM(Bedarfe!G18,Vermögen!I17)),0),IF(Bedarfe!H28="ja",IF(SUM(Bedarfe!H18,Vermögen!J17,Bedarfe!H21)&gt;Bedarfe!H16,Bedarfe!H16-Bedarfe!H21,SUM(Bedarfe!H18,Vermögen!J17)),0),IF(Bedarfe!I28="ja",IF(SUM(Bedarfe!I18,Vermögen!K17,Bedarfe!I21)&gt;Bedarfe!I16,Bedarfe!I16-Bedarfe!I21,SUM(Bedarfe!I18,Vermögen!K17)),0),IF(Bedarfe!J24="ja",IF(SUM(Bedarfe!J18,Vermögen!L17,Bedarfe!J21)&gt;Bedarfe!J16,Bedarfe!J16-Bedarfe!J21,SUM(Bedarfe!J18,Vermögen!L17)),0),IF(Bedarfe!K28="ja",IF(SUM(Bedarfe!K18,Vermögen!M17,Bedarfe!K21)&gt;Bedarfe!K16,Bedarfe!K16-Bedarfe!K21,SUM(Bedarfe!K18,Vermögen!M17)),0),IF(Bedarfe!L28="ja",IF(SUM(Bedarfe!L18,Vermögen!E34,Bedarfe!L21)&gt;Bedarfe!L16,Bedarfe!L16-Bedarfe!L21,SUM(Bedarfe!L18,Vermögen!E34)),0),IF(Bedarfe!M28="ja",IF(SUM(Bedarfe!M18,Vermögen!F34,Bedarfe!M21)&gt;Bedarfe!M16,Bedarfe!M16-Bedarfe!M21,SUM(Bedarfe!M18,Vermögen!F34)),0),IF(Bedarfe!C70="ja",IF(SUM(Bedarfe!C60,Vermögen!G34,Bedarfe!C63)&gt;Bedarfe!C58,Bedarfe!C58-Bedarfe!C63,SUM(Bedarfe!C60,Vermögen!G34)),0),IF(Bedarfe!D70="ja",IF(SUM(Bedarfe!D60,Vermögen!H34,Bedarfe!D63)&gt;Bedarfe!D58,Bedarfe!D58-Bedarfe!D63,SUM(Bedarfe!D60,Vermögen!H34)),0),IF(Bedarfe!E70="ja",IF(SUM(Bedarfe!E60,Vermögen!I34,Bedarfe!E63)&gt;Bedarfe!E58,Bedarfe!E58-Bedarfe!E63,SUM(Bedarfe!E60,Vermögen!I34)),0),IF(Bedarfe!F70="ja",IF(SUM(Bedarfe!F60,Vermögen!J34,Bedarfe!F63)&gt;Bedarfe!F58,Bedarfe!F58-Bedarfe!F63,SUM(Bedarfe!F60,Vermögen!J34)),0),IF(Bedarfe!G70="ja",IF(SUM(Bedarfe!G60,Vermögen!K34,Bedarfe!G63)&gt;Bedarfe!G58,Bedarfe!G58-Bedarfe!G63,SUM(Bedarfe!G60,Vermögen!K34)),0),IF(Bedarfe!H70="ja",IF(SUM(Bedarfe!H60,Vermögen!L34,Bedarfe!H63)&gt;Bedarfe!H58,Bedarfe!H58-Bedarfe!H63,SUM(Bedarfe!H60,Vermögen!L34)),0)))</f>
        <v xml:space="preserve"> </v>
      </c>
      <c r="F8" s="209"/>
      <c r="G8" s="208"/>
      <c r="H8" s="210"/>
      <c r="I8" s="209"/>
      <c r="J8" s="211"/>
    </row>
    <row r="9" spans="1:10" x14ac:dyDescent="0.2">
      <c r="A9" s="540" t="s">
        <v>469</v>
      </c>
      <c r="B9" s="541" t="str">
        <f>IF(BG!D2&lt;=BG!E2," ",Bedarfe!C77-B10)</f>
        <v xml:space="preserve"> </v>
      </c>
      <c r="C9" s="292"/>
      <c r="D9" s="542" t="s">
        <v>467</v>
      </c>
      <c r="E9" s="543" t="str">
        <f>IF(BG!D2&lt;=BG!E2," ",IF(BG!D2&gt;BG!E2,'Kiz ab Januar 2025'!K58,'Berechnung KiZ'!J84))</f>
        <v xml:space="preserve"> </v>
      </c>
      <c r="F9" s="209"/>
      <c r="G9" s="208"/>
      <c r="H9" s="210"/>
      <c r="I9" s="209"/>
      <c r="J9" s="211"/>
    </row>
    <row r="10" spans="1:10" x14ac:dyDescent="0.2">
      <c r="A10" s="540" t="s">
        <v>470</v>
      </c>
      <c r="B10" s="541" t="str">
        <f>IF(BG!D2&lt;=BG!E2," ",SUM(IF(Bedarfe!C22="nein",Bedarfe!C15,0),IF(Bedarfe!D22="nein",Bedarfe!D15,0),IF(Bedarfe!E28="ja",Bedarfe!E15,0),IF(Bedarfe!F28="ja",Bedarfe!F15,0),IF(Bedarfe!G28="ja",Bedarfe!G15,0),IF(Bedarfe!H28="ja",Bedarfe!H15,0),IF(Bedarfe!I28="ja",Bedarfe!I15,0),IF(Bedarfe!J28="ja",Bedarfe!J15,0),IF(Bedarfe!K28="ja",Bedarfe!K15,0),IF(Bedarfe!L28="ja",Bedarfe!L15,0),IF(Bedarfe!M28="ja",Bedarfe!M15,0),IF(Bedarfe!C70="ja",Bedarfe!C57,0),IF(Bedarfe!D70="ja",Bedarfe!D57,0),IF(Bedarfe!E70="ja",Bedarfe!E57,0),IF(Bedarfe!F70="ja",Bedarfe!F57,0),IF(Bedarfe!G70="ja",Bedarfe!G57,0),IF(Bedarfe!H70="ja",Bedarfe!H57,0)))</f>
        <v xml:space="preserve"> </v>
      </c>
      <c r="C10" s="292"/>
      <c r="D10" s="542" t="s">
        <v>469</v>
      </c>
      <c r="E10" s="543" t="str">
        <f>IF(BG!D2&lt;=BG!E2," ",Bedarfe!C77-B10)</f>
        <v xml:space="preserve"> </v>
      </c>
      <c r="F10" s="209"/>
      <c r="G10" s="208"/>
      <c r="H10" s="210"/>
      <c r="I10" s="209"/>
      <c r="J10" s="211"/>
    </row>
    <row r="11" spans="1:10" x14ac:dyDescent="0.2">
      <c r="A11" s="540" t="s">
        <v>471</v>
      </c>
      <c r="B11" s="541" t="str">
        <f>IF(BG!D2&lt;=BG!E2," ",IF((B4-B5)&lt;0,0,(B4-B5)))</f>
        <v xml:space="preserve"> </v>
      </c>
      <c r="C11" s="292"/>
      <c r="D11" s="542" t="s">
        <v>471</v>
      </c>
      <c r="E11" s="543" t="str">
        <f>IF(BG!D2&lt;=BG!E2," ",IF((B4-B5)&lt;0,0,(B4-B5)))</f>
        <v xml:space="preserve"> </v>
      </c>
      <c r="F11" s="209"/>
      <c r="G11" s="208"/>
      <c r="H11" s="210"/>
      <c r="I11" s="209"/>
      <c r="J11" s="211"/>
    </row>
    <row r="12" spans="1:10" x14ac:dyDescent="0.2">
      <c r="A12" s="540" t="s">
        <v>468</v>
      </c>
      <c r="B12" s="541" t="str">
        <f>IF(BG!D2&lt;=BG!E2," ",SUM(IF(Bedarfe!E28="ja",IF(SUM(Bedarfe!E18,Vermögen!G17,Bedarfe!E21)&gt;Bedarfe!E16,Bedarfe!E16-Bedarfe!E21,SUM(Bedarfe!E18,Vermögen!G17)),0),IF(Bedarfe!F28="ja",IF(SUM(Bedarfe!F18,Vermögen!H17,Bedarfe!F21)&gt;Bedarfe!F16,Bedarfe!F16-Bedarfe!F21,SUM(Bedarfe!F18,Vermögen!H17)),0),IF(Bedarfe!G28="ja",IF(SUM(Bedarfe!G18,Vermögen!I17,Bedarfe!G21)&gt;Bedarfe!G16,Bedarfe!G16-Bedarfe!G21,SUM(Bedarfe!G18,Vermögen!I17)),0),IF(Bedarfe!H28="ja",IF(SUM(Bedarfe!H18,Vermögen!J17,Bedarfe!H21)&gt;Bedarfe!H16,Bedarfe!H16-Bedarfe!H21,SUM(Bedarfe!H18,Vermögen!J17)),0),IF(Bedarfe!I28="ja",IF(SUM(Bedarfe!I18,Vermögen!K17,Bedarfe!I21)&gt;Bedarfe!I16,Bedarfe!I16-Bedarfe!I21,SUM(Bedarfe!I18,Vermögen!K17)),0),IF(Bedarfe!J24="ja",IF(SUM(Bedarfe!J18,Vermögen!L17,Bedarfe!J21)&gt;Bedarfe!J16,Bedarfe!J16-Bedarfe!J21,SUM(Bedarfe!J18,Vermögen!L17)),0),IF(Bedarfe!K28="ja",IF(SUM(Bedarfe!K18,Vermögen!M17,Bedarfe!K21)&gt;Bedarfe!K16,Bedarfe!K16-Bedarfe!K21,SUM(Bedarfe!K18,Vermögen!M17)),0),IF(Bedarfe!L28="ja",IF(SUM(Bedarfe!L18,Vermögen!E34,Bedarfe!L21)&gt;Bedarfe!L16,Bedarfe!L16-Bedarfe!L21,SUM(Bedarfe!L18,Vermögen!E34)),0),IF(Bedarfe!M28="ja",IF(SUM(Bedarfe!M18,Vermögen!F34,Bedarfe!M21)&gt;Bedarfe!M16,Bedarfe!M16-Bedarfe!M21,SUM(Bedarfe!M18,Vermögen!F34)),0),IF(Bedarfe!C70="ja",IF(SUM(Bedarfe!C60,Vermögen!G34,Bedarfe!C63)&gt;Bedarfe!C58,Bedarfe!C58-Bedarfe!C63,SUM(Bedarfe!C60,Vermögen!G34)),0),IF(Bedarfe!D70="ja",IF(SUM(Bedarfe!D60,Vermögen!H34,Bedarfe!D63)&gt;Bedarfe!D58,Bedarfe!D58-Bedarfe!D63,SUM(Bedarfe!D60,Vermögen!H34)),0),IF(Bedarfe!E70="ja",IF(SUM(Bedarfe!E60,Vermögen!I34,Bedarfe!E63)&gt;Bedarfe!E58,Bedarfe!E58-Bedarfe!E63,SUM(Bedarfe!E60,Vermögen!I34)),0),IF(Bedarfe!F70="ja",IF(SUM(Bedarfe!F60,Vermögen!J34,Bedarfe!F63)&gt;Bedarfe!F58,Bedarfe!F58-Bedarfe!F63,SUM(Bedarfe!F60,Vermögen!J34)),0),IF(Bedarfe!G70="ja",IF(SUM(Bedarfe!G60,Vermögen!K34,Bedarfe!G63)&gt;Bedarfe!G58,Bedarfe!G58-Bedarfe!G63,SUM(Bedarfe!G60,Vermögen!K34)),0),IF(Bedarfe!H70="ja",IF(SUM(Bedarfe!H60,Vermögen!L34,Bedarfe!H63)&gt;Bedarfe!H58,Bedarfe!H58-Bedarfe!H63,SUM(Bedarfe!H60,Vermögen!L34)),0)))</f>
        <v xml:space="preserve"> </v>
      </c>
      <c r="C12" s="292"/>
      <c r="D12" s="542" t="s">
        <v>470</v>
      </c>
      <c r="E12" s="543" t="str">
        <f>IF(BG!D2&lt;=BG!E2," ",SUM(IF(Bedarfe!C22="nein",Bedarfe!C15,0),IF(Bedarfe!D22="nein",Bedarfe!D15,0),IF(Bedarfe!E28="ja",Bedarfe!E15,0),IF(Bedarfe!F28="ja",Bedarfe!F15,0),IF(Bedarfe!G28="ja",Bedarfe!G15,0),IF(Bedarfe!H28="ja",Bedarfe!H15,0),IF(Bedarfe!I28="ja",Bedarfe!I15,0),IF(Bedarfe!J28="ja",Bedarfe!J15,0),IF(Bedarfe!K28="ja",Bedarfe!K15,0),IF(Bedarfe!L28="ja",Bedarfe!L15,0),IF(Bedarfe!M28="ja",Bedarfe!M15,0),IF(Bedarfe!C70="ja",Bedarfe!C57,0),IF(Bedarfe!D70="ja",Bedarfe!D57,0),IF(Bedarfe!E70="ja",Bedarfe!E57,0),IF(Bedarfe!F70="ja",Bedarfe!F57,0),IF(Bedarfe!G70="ja",Bedarfe!G57,0),IF(Bedarfe!H70="ja",Bedarfe!H57,0)))</f>
        <v xml:space="preserve"> </v>
      </c>
      <c r="F12" s="209"/>
      <c r="G12" s="208"/>
      <c r="H12" s="210"/>
      <c r="I12" s="209"/>
      <c r="J12" s="211"/>
    </row>
    <row r="13" spans="1:10" x14ac:dyDescent="0.2">
      <c r="A13" s="540" t="s">
        <v>197</v>
      </c>
      <c r="B13" s="541" t="str">
        <f>IF(BG!D2&lt;=BG!E2," ",SUM(IF(Bedarfe!E28="ja",Bedarfe!E21,0),IF(Bedarfe!F28="ja",Bedarfe!F21,0),IF(Bedarfe!G28="ja",Bedarfe!G21,0),IF(Bedarfe!H28="ja",Bedarfe!H21,0),IF(Bedarfe!I28="ja",Bedarfe!I21,0),IF(Bedarfe!J28="ja",Bedarfe!J21,0),IF(Bedarfe!K28="ja",Bedarfe!K21,0),IF(Bedarfe!L28="ja",Bedarfe!L21,0),IF(Bedarfe!M28="ja",Bedarfe!M21,0),IF(Bedarfe!C70="ja",Bedarfe!C63,0),IF(Bedarfe!D70="ja",Bedarfe!D63,0),IF(Bedarfe!E70="ja",Bedarfe!E63,0),IF(Bedarfe!F70="ja",Bedarfe!F63,0),IF(Bedarfe!G70="ja",Bedarfe!G63,0),IF(Bedarfe!H70="ja",Bedarfe!H63,0)))</f>
        <v xml:space="preserve"> </v>
      </c>
      <c r="C13" s="292"/>
      <c r="D13" s="542" t="s">
        <v>197</v>
      </c>
      <c r="E13" s="543" t="str">
        <f>IF(BG!D2&lt;=BG!E2," ",SUM(IF(Bedarfe!E28="ja",Bedarfe!E21,0),IF(Bedarfe!F28="ja",Bedarfe!F21,0),IF(Bedarfe!G28="ja",Bedarfe!G21,0),IF(Bedarfe!H28="ja",Bedarfe!H21,0),IF(Bedarfe!I28="ja",Bedarfe!I21,0),IF(Bedarfe!J28="ja",Bedarfe!J21,0),IF(Bedarfe!K28="ja",Bedarfe!K21,0),IF(Bedarfe!L28="ja",Bedarfe!L21,0),IF(Bedarfe!M28="ja",Bedarfe!M21,0),IF(Bedarfe!C70="ja",Bedarfe!C63,0),IF(Bedarfe!D70="ja",Bedarfe!D63,0),IF(Bedarfe!E70="ja",Bedarfe!E63,0),IF(Bedarfe!F70="ja",Bedarfe!F63,0),IF(Bedarfe!G70="ja",Bedarfe!G63,0),IF(Bedarfe!H70="ja",Bedarfe!H63,0)))</f>
        <v xml:space="preserve"> </v>
      </c>
      <c r="F13" s="209"/>
      <c r="G13" s="208"/>
      <c r="H13" s="210"/>
      <c r="I13" s="209"/>
      <c r="J13" s="211"/>
    </row>
    <row r="14" spans="1:10" ht="15" thickBot="1" x14ac:dyDescent="0.25">
      <c r="A14" s="544" t="s">
        <v>472</v>
      </c>
      <c r="B14" s="545" t="str">
        <f>IF(BG!D2&lt;=BG!E2," ",IF(BG!D2&gt;BG!E2,'Kiz ab Januar 2025'!E72,'Berechnung KiZ'!E96))</f>
        <v xml:space="preserve"> </v>
      </c>
      <c r="C14" s="538"/>
      <c r="D14" s="546" t="s">
        <v>472</v>
      </c>
      <c r="E14" s="545" t="str">
        <f>IF(BG!D2&lt;=BG!E2," ",IF(BG!D2&gt;BG!E2,'Kiz ab Januar 2025'!E72,'Berechnung KiZ'!E96))</f>
        <v xml:space="preserve"> </v>
      </c>
      <c r="F14" s="209"/>
      <c r="G14" s="208"/>
      <c r="H14" s="210"/>
      <c r="I14" s="209"/>
      <c r="J14" s="211"/>
    </row>
    <row r="15" spans="1:10" x14ac:dyDescent="0.2">
      <c r="A15" s="239"/>
      <c r="B15" s="292"/>
      <c r="C15" s="292"/>
      <c r="D15" s="292"/>
      <c r="E15" s="547"/>
      <c r="F15" s="126"/>
      <c r="G15" s="208"/>
      <c r="H15" s="210"/>
      <c r="I15" s="209"/>
      <c r="J15" s="211"/>
    </row>
    <row r="16" spans="1:10" ht="30" customHeight="1" x14ac:dyDescent="0.25">
      <c r="A16" s="1304" t="s">
        <v>473</v>
      </c>
      <c r="B16" s="1305"/>
      <c r="C16" s="292"/>
      <c r="D16" s="548"/>
      <c r="E16" s="547"/>
      <c r="F16" s="209"/>
      <c r="G16" s="208"/>
      <c r="H16" s="210"/>
      <c r="I16" s="209"/>
      <c r="J16" s="211"/>
    </row>
    <row r="17" spans="1:10" ht="15" thickBot="1" x14ac:dyDescent="0.25">
      <c r="A17" s="239"/>
      <c r="B17" s="292"/>
      <c r="C17" s="292"/>
      <c r="D17" s="634"/>
      <c r="E17" s="636"/>
      <c r="F17" s="209"/>
      <c r="G17" s="208"/>
      <c r="H17" s="210"/>
      <c r="I17" s="209"/>
      <c r="J17" s="211"/>
    </row>
    <row r="18" spans="1:10" x14ac:dyDescent="0.2">
      <c r="A18" s="536" t="s">
        <v>474</v>
      </c>
      <c r="B18" s="537" t="str">
        <f>IF(BG!D2&lt;=BG!E2," ",SUM(Datenblatt!A93:B94))</f>
        <v xml:space="preserve"> </v>
      </c>
      <c r="C18" s="538"/>
      <c r="D18" s="635"/>
      <c r="E18" s="636"/>
      <c r="F18" s="209"/>
      <c r="G18" s="208"/>
      <c r="H18" s="210"/>
      <c r="I18" s="209"/>
      <c r="J18" s="211"/>
    </row>
    <row r="19" spans="1:10" x14ac:dyDescent="0.2">
      <c r="A19" s="540" t="s">
        <v>299</v>
      </c>
      <c r="B19" s="541" t="str">
        <f>IF(BG!D2&lt;=BG!E2," ",Vermögen!E17)</f>
        <v xml:space="preserve"> </v>
      </c>
      <c r="C19" s="292"/>
      <c r="D19" s="634"/>
      <c r="E19" s="636"/>
      <c r="F19" s="209"/>
      <c r="G19" s="209"/>
      <c r="H19" s="209"/>
      <c r="I19" s="209"/>
      <c r="J19" s="211"/>
    </row>
    <row r="20" spans="1:10" x14ac:dyDescent="0.2">
      <c r="A20" s="540" t="s">
        <v>475</v>
      </c>
      <c r="B20" s="541" t="str">
        <f>IF(BG!D2&lt;=BG!E2," ",'Kiz ab Januar 2025'!K52+'Kiz ab Januar 2025'!K56)</f>
        <v xml:space="preserve"> </v>
      </c>
      <c r="C20" s="292"/>
      <c r="D20" s="634"/>
      <c r="E20" s="636"/>
      <c r="F20" s="209"/>
      <c r="G20" s="209"/>
      <c r="H20" s="209"/>
      <c r="I20" s="209"/>
      <c r="J20" s="211"/>
    </row>
    <row r="21" spans="1:10" x14ac:dyDescent="0.2">
      <c r="A21" s="540" t="s">
        <v>215</v>
      </c>
      <c r="B21" s="541" t="str">
        <f>IF(BG!D2&lt;=BG!E2," ",'Kiz ab Januar 2025'!D22)</f>
        <v xml:space="preserve"> </v>
      </c>
      <c r="C21" s="292"/>
      <c r="D21" s="634"/>
      <c r="E21" s="636"/>
      <c r="F21" s="209"/>
      <c r="G21" s="209"/>
      <c r="H21" s="209"/>
      <c r="I21" s="209"/>
      <c r="J21" s="211"/>
    </row>
    <row r="22" spans="1:10" x14ac:dyDescent="0.2">
      <c r="A22" s="540" t="s">
        <v>476</v>
      </c>
      <c r="B22" s="541" t="str">
        <f>IF(BG!D2&lt;=BG!E2," ",IF(BG!D2&lt;=BG!E2,'Berechnung KiZ'!D75,'Kiz ab Januar 2025'!C37))</f>
        <v xml:space="preserve"> </v>
      </c>
      <c r="C22" s="292"/>
      <c r="D22" s="634"/>
      <c r="E22" s="636"/>
      <c r="F22" s="209"/>
      <c r="G22" s="209"/>
      <c r="H22" s="209"/>
      <c r="I22" s="209"/>
      <c r="J22" s="211"/>
    </row>
    <row r="23" spans="1:10" x14ac:dyDescent="0.2">
      <c r="A23" s="540" t="s">
        <v>477</v>
      </c>
      <c r="B23" s="543" t="str">
        <f>IF(BG!D2&lt;=BG!E2," ",IF('Berechnung KiZ'!C39=" ",SUM('Kiz ab Januar 2025'!C34,'Kiz ab Januar 2025'!C35),SUM('Berechnung KiZ'!C39,'Berechnung KiZ'!C40)))</f>
        <v xml:space="preserve"> </v>
      </c>
      <c r="C23" s="538"/>
      <c r="D23" s="538"/>
      <c r="E23" s="538"/>
      <c r="F23" s="209"/>
      <c r="G23" s="209"/>
      <c r="H23" s="209"/>
      <c r="I23" s="209"/>
      <c r="J23" s="211"/>
    </row>
    <row r="24" spans="1:10" ht="15" thickBot="1" x14ac:dyDescent="0.25">
      <c r="A24" s="544" t="s">
        <v>478</v>
      </c>
      <c r="B24" s="545" t="str">
        <f>IF(BG!D2&lt;=BG!E2," ",IF('Berechnung KiZ'!C41=" ",'Kiz ab Januar 2025'!C36,'Berechnung KiZ'!C41))</f>
        <v xml:space="preserve"> </v>
      </c>
      <c r="C24" s="538"/>
      <c r="D24" s="635"/>
      <c r="E24" s="637"/>
      <c r="F24" s="209"/>
      <c r="G24" s="209"/>
      <c r="H24" s="209"/>
      <c r="I24" s="209"/>
      <c r="J24" s="211"/>
    </row>
    <row r="25" spans="1:10" x14ac:dyDescent="0.2">
      <c r="A25" s="240"/>
      <c r="B25" s="538"/>
      <c r="C25" s="538"/>
      <c r="D25" s="635"/>
      <c r="E25" s="637"/>
      <c r="F25" s="209"/>
      <c r="G25" s="209"/>
      <c r="H25" s="209"/>
      <c r="I25" s="209"/>
      <c r="J25" s="211"/>
    </row>
    <row r="26" spans="1:10" x14ac:dyDescent="0.2">
      <c r="A26" s="239"/>
      <c r="B26" s="538"/>
      <c r="C26" s="538"/>
      <c r="D26" s="635"/>
      <c r="E26" s="638"/>
      <c r="F26" s="211"/>
      <c r="G26" s="211"/>
      <c r="H26" s="211"/>
      <c r="I26" s="211"/>
      <c r="J26" s="211"/>
    </row>
    <row r="27" spans="1:10" x14ac:dyDescent="0.2">
      <c r="A27" s="239"/>
      <c r="B27" s="292"/>
      <c r="C27" s="292"/>
      <c r="D27" s="634"/>
      <c r="E27" s="638"/>
      <c r="F27" s="211"/>
      <c r="G27" s="211"/>
      <c r="H27" s="211"/>
      <c r="I27" s="211"/>
      <c r="J27" s="211"/>
    </row>
    <row r="28" spans="1:10" x14ac:dyDescent="0.2">
      <c r="A28" s="239"/>
      <c r="B28" s="292"/>
      <c r="C28" s="292"/>
      <c r="D28" s="634"/>
      <c r="E28" s="638"/>
      <c r="F28" s="211"/>
      <c r="G28" s="211"/>
      <c r="H28" s="211"/>
      <c r="I28" s="211"/>
      <c r="J28" s="211"/>
    </row>
    <row r="29" spans="1:10" x14ac:dyDescent="0.2">
      <c r="A29" s="239"/>
      <c r="B29" s="292"/>
      <c r="C29" s="292"/>
      <c r="D29" s="634"/>
      <c r="E29" s="638"/>
      <c r="F29" s="211"/>
      <c r="G29" s="211"/>
      <c r="H29" s="211"/>
      <c r="I29" s="211"/>
      <c r="J29" s="211"/>
    </row>
    <row r="30" spans="1:10" x14ac:dyDescent="0.2">
      <c r="A30" s="239"/>
      <c r="B30" s="1297"/>
      <c r="C30" s="1298"/>
      <c r="D30" s="1298"/>
      <c r="E30" s="294"/>
      <c r="F30" s="211"/>
      <c r="G30" s="211"/>
      <c r="H30" s="211"/>
      <c r="I30" s="211"/>
      <c r="J30" s="211"/>
    </row>
    <row r="31" spans="1:10" x14ac:dyDescent="0.2">
      <c r="A31" s="239"/>
      <c r="B31" s="1297"/>
      <c r="C31" s="1298"/>
      <c r="D31" s="1298"/>
      <c r="E31" s="294"/>
      <c r="F31" s="211"/>
      <c r="G31" s="211"/>
      <c r="H31" s="211"/>
      <c r="I31" s="211"/>
      <c r="J31" s="211"/>
    </row>
    <row r="32" spans="1:10" x14ac:dyDescent="0.2">
      <c r="A32" s="214"/>
      <c r="B32" s="214"/>
      <c r="C32" s="214"/>
      <c r="D32" s="214"/>
      <c r="E32" s="214"/>
      <c r="F32" s="211"/>
      <c r="G32" s="211"/>
      <c r="H32" s="211"/>
      <c r="I32" s="211"/>
      <c r="J32" s="211"/>
    </row>
    <row r="33" spans="1:10" x14ac:dyDescent="0.2">
      <c r="A33" s="214"/>
      <c r="B33" s="214"/>
      <c r="C33" s="214"/>
      <c r="D33" s="214"/>
      <c r="E33" s="214"/>
      <c r="F33" s="211"/>
      <c r="G33" s="211"/>
      <c r="H33" s="211"/>
      <c r="I33" s="211"/>
      <c r="J33" s="211"/>
    </row>
    <row r="34" spans="1:10" x14ac:dyDescent="0.2">
      <c r="A34" s="211"/>
      <c r="B34" s="211"/>
      <c r="C34" s="211"/>
      <c r="D34" s="211"/>
      <c r="E34" s="211"/>
      <c r="F34" s="211"/>
      <c r="G34" s="211"/>
      <c r="H34" s="211"/>
      <c r="I34" s="211"/>
      <c r="J34" s="211"/>
    </row>
    <row r="35" spans="1:10" x14ac:dyDescent="0.2">
      <c r="A35" s="211"/>
      <c r="B35" s="211"/>
      <c r="C35" s="211"/>
      <c r="D35" s="211"/>
      <c r="E35" s="211"/>
      <c r="F35" s="211"/>
      <c r="G35" s="211"/>
      <c r="H35" s="211"/>
      <c r="I35" s="211"/>
      <c r="J35" s="211"/>
    </row>
    <row r="36" spans="1:10" x14ac:dyDescent="0.2">
      <c r="A36" s="211"/>
      <c r="B36" s="211"/>
      <c r="C36" s="211"/>
      <c r="D36" s="211"/>
      <c r="E36" s="211"/>
      <c r="F36" s="211"/>
      <c r="G36" s="211"/>
      <c r="H36" s="211"/>
      <c r="I36" s="211"/>
      <c r="J36" s="211"/>
    </row>
    <row r="37" spans="1:10" x14ac:dyDescent="0.2">
      <c r="A37" s="211"/>
      <c r="B37" s="211"/>
      <c r="C37" s="211"/>
      <c r="D37" s="211"/>
      <c r="E37" s="211"/>
      <c r="F37" s="211"/>
      <c r="G37" s="211"/>
      <c r="H37" s="211"/>
      <c r="I37" s="211"/>
      <c r="J37" s="211"/>
    </row>
    <row r="38" spans="1:10" x14ac:dyDescent="0.2">
      <c r="A38" s="211"/>
      <c r="B38" s="211"/>
      <c r="C38" s="211"/>
      <c r="D38" s="211"/>
      <c r="E38" s="211"/>
      <c r="F38" s="211"/>
      <c r="G38" s="211"/>
      <c r="H38" s="211"/>
      <c r="I38" s="211"/>
      <c r="J38" s="211"/>
    </row>
    <row r="39" spans="1:10" x14ac:dyDescent="0.2">
      <c r="A39" s="211"/>
      <c r="B39" s="211"/>
      <c r="C39" s="211"/>
      <c r="D39" s="211"/>
      <c r="E39" s="211"/>
      <c r="F39" s="211"/>
      <c r="G39" s="211"/>
      <c r="H39" s="211"/>
      <c r="I39" s="211"/>
      <c r="J39" s="211"/>
    </row>
  </sheetData>
  <sheetProtection algorithmName="SHA-512" hashValue="gz9FLr+xn/awlgUSYZGZamU0XT94Ykl7SFpdcmfks0g1JdH0fAwLII5V44xckbQiRqZL910EWXT+SX46u2JeKg==" saltValue="/3bqiANMqfUjFIr57Bughg==" spinCount="100000" sheet="1" formatCells="0" formatColumns="0" formatRows="0" insertColumns="0" insertRows="0" insertHyperlinks="0" deleteColumns="0" deleteRows="0" sort="0" autoFilter="0" pivotTables="0"/>
  <mergeCells count="5">
    <mergeCell ref="B30:D30"/>
    <mergeCell ref="B31:D31"/>
    <mergeCell ref="A1:B1"/>
    <mergeCell ref="D1:E1"/>
    <mergeCell ref="A16:B16"/>
  </mergeCells>
  <pageMargins left="0.70866141732283472" right="0.70866141732283472" top="0.8666666666666667" bottom="0.78740157480314965" header="0.31496062992125984" footer="0.31496062992125984"/>
  <pageSetup paperSize="9" orientation="landscape" r:id="rId1"/>
  <headerFooter>
    <oddHeader>&amp;L&amp;"Arial,Fett"&amp;16&amp;UAuf einen Blick:&amp;11
&amp;R&amp;D</oddHead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A Generische Publikation" ma:contentTypeID="0x0101001CF96C0210194FB2B5E0D8BCB7BAF92300AA33FCE9F02D834DABADFC5607811096" ma:contentTypeVersion="47" ma:contentTypeDescription="Inhaltstyp für Generische Publikationen" ma:contentTypeScope="" ma:versionID="3354ba6106cb30bb65d2ad7ca63bd1fa">
  <xsd:schema xmlns:xsd="http://www.w3.org/2001/XMLSchema" xmlns:xs="http://www.w3.org/2001/XMLSchema" xmlns:p="http://schemas.microsoft.com/office/2006/metadata/properties" xmlns:ns1="90814f03-49bf-44ac-a0d1-bb6557c545a1" xmlns:ns2="326e7e15-26a6-4681-83db-7f2bb92fcb21" xmlns:ns3="http://schemas.microsoft.com/sharepoint/v3" targetNamespace="http://schemas.microsoft.com/office/2006/metadata/properties" ma:root="true" ma:fieldsID="3f44ad123f51117212dac55062583e74" ns1:_="" ns2:_="" ns3:_="">
    <xsd:import namespace="90814f03-49bf-44ac-a0d1-bb6557c545a1"/>
    <xsd:import namespace="326e7e15-26a6-4681-83db-7f2bb92fcb21"/>
    <xsd:import namespace="http://schemas.microsoft.com/sharepoint/v3"/>
    <xsd:element name="properties">
      <xsd:complexType>
        <xsd:sequence>
          <xsd:element name="documentManagement">
            <xsd:complexType>
              <xsd:all>
                <xsd:element ref="ns1:FederfuehrendesAktenzeichenTaxHTField0" minOccurs="0"/>
                <xsd:element ref="ns1:MitfuehrendeAktenzeichenTaxHTField0" minOccurs="0"/>
                <xsd:element ref="ns1:RaeumlicherGeltungsbereichTaxHTField0" minOccurs="0"/>
                <xsd:element ref="ns1:SchlagwortTaxHTField0" minOccurs="0"/>
                <xsd:element ref="ns2:TaxCatchAll" minOccurs="0"/>
                <xsd:element ref="ns2:TaxCatchAllLabel" minOccurs="0"/>
                <xsd:element ref="ns1:Kurzbeschreibung" minOccurs="0"/>
                <xsd:element ref="ns1:Stand"/>
                <xsd:element ref="ns2:Zustaendigkeiten"/>
                <xsd:element ref="ns1:FachlicheZustaendigkeit" minOccurs="0"/>
                <xsd:element ref="ns1:VeroeffentlichungAktuelles" minOccurs="0"/>
                <xsd:element ref="ns1:AktuellesBis" minOccurs="0"/>
                <xsd:element ref="ns1:Archivierungswuerdig" minOccurs="0"/>
                <xsd:element ref="ns1:KeineIndizierung" minOccurs="0"/>
                <xsd:element ref="ns1:ZeigeAufStartseite" minOccurs="0"/>
                <xsd:element ref="ns3:PublishingStartDate" minOccurs="0"/>
                <xsd:element ref="ns1:BAGueltigBis"/>
                <xsd:element ref="ns1:Archiviert" minOccurs="0"/>
                <xsd:element ref="ns2:BARollenTaxHTField0" minOccurs="0"/>
                <xsd:element ref="ns2:FachverfahrenTaxHTField0" minOccurs="0"/>
                <xsd:element ref="ns2:AlleLeser" minOccurs="0"/>
                <xsd:element ref="ns3:_dlc_ExpireDate" minOccurs="0"/>
                <xsd:element ref="ns3:_dlc_Exempt" minOccurs="0"/>
                <xsd:element ref="ns3:_dlc_ExpireDateSa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814f03-49bf-44ac-a0d1-bb6557c545a1" elementFormDefault="qualified">
    <xsd:import namespace="http://schemas.microsoft.com/office/2006/documentManagement/types"/>
    <xsd:import namespace="http://schemas.microsoft.com/office/infopath/2007/PartnerControls"/>
    <xsd:element name="FederfuehrendesAktenzeichenTaxHTField0" ma:index="0" ma:taxonomy="true" ma:internalName="FederfuehrendesAktenzeichenTaxHTField0" ma:taxonomyFieldName="FederfuehrendesAktenzeichen" ma:displayName="Federführendes Aktenzeichen" ma:fieldId="{ccbd9873-a26d-4aba-b056-544b8cd7a879}" ma:sspId="6ce76478-e3d2-4498-b46a-8f9b639766fc" ma:termSetId="b5859a61-b9eb-4078-afb9-237dff82494f" ma:anchorId="00000000-0000-0000-0000-000000000000" ma:open="true" ma:isKeyword="false">
      <xsd:complexType>
        <xsd:sequence>
          <xsd:element ref="pc:Terms" minOccurs="0" maxOccurs="1"/>
        </xsd:sequence>
      </xsd:complexType>
    </xsd:element>
    <xsd:element name="MitfuehrendeAktenzeichenTaxHTField0" ma:index="1" nillable="true" ma:taxonomy="true" ma:internalName="MitfuehrendeAktenzeichenTaxHTField0" ma:taxonomyFieldName="MitfuehrendeAktenzeichen" ma:displayName="Mitführende Aktenzeichen" ma:fieldId="{49773114-de4b-4124-8f8f-b645b59bce9a}" ma:taxonomyMulti="true" ma:sspId="6ce76478-e3d2-4498-b46a-8f9b639766fc" ma:termSetId="b5859a61-b9eb-4078-afb9-237dff82494f" ma:anchorId="00000000-0000-0000-0000-000000000000" ma:open="true" ma:isKeyword="false">
      <xsd:complexType>
        <xsd:sequence>
          <xsd:element ref="pc:Terms" minOccurs="0" maxOccurs="1"/>
        </xsd:sequence>
      </xsd:complexType>
    </xsd:element>
    <xsd:element name="RaeumlicherGeltungsbereichTaxHTField0" ma:index="2" ma:taxonomy="true" ma:internalName="RaeumlicherGeltungsbereichTaxHTField0" ma:taxonomyFieldName="RaeumlicherGeltungsbereich" ma:displayName="Räumlicher Geltungsbereich" ma:fieldId="{766d42c2-25d4-4f71-8e03-77911716cd83}" ma:taxonomyMulti="true" ma:sspId="6ce76478-e3d2-4498-b46a-8f9b639766fc" ma:termSetId="42702e00-234e-4c4a-bc9e-4be9e7f4e045" ma:anchorId="00000000-0000-0000-0000-000000000000" ma:open="true" ma:isKeyword="false">
      <xsd:complexType>
        <xsd:sequence>
          <xsd:element ref="pc:Terms" minOccurs="0" maxOccurs="1"/>
        </xsd:sequence>
      </xsd:complexType>
    </xsd:element>
    <xsd:element name="SchlagwortTaxHTField0" ma:index="3" nillable="true" ma:taxonomy="true" ma:internalName="SchlagwortTaxHTField0" ma:taxonomyFieldName="Schlagwort" ma:displayName="Schlagwörter" ma:fieldId="{6ea57f04-7750-452d-a113-6e8902740fdb}" ma:taxonomyMulti="true" ma:sspId="6ce76478-e3d2-4498-b46a-8f9b639766fc" ma:termSetId="c5d5c0da-04db-4942-bef1-f971808514cf" ma:anchorId="00000000-0000-0000-0000-000000000000" ma:open="true" ma:isKeyword="false">
      <xsd:complexType>
        <xsd:sequence>
          <xsd:element ref="pc:Terms" minOccurs="0" maxOccurs="1"/>
        </xsd:sequence>
      </xsd:complexType>
    </xsd:element>
    <xsd:element name="Kurzbeschreibung" ma:index="7" nillable="true" ma:displayName="Kurzbeschreibung" ma:internalName="Kurzbeschreibung">
      <xsd:simpleType>
        <xsd:restriction base="dms:Note">
          <xsd:maxLength value="600"/>
        </xsd:restriction>
      </xsd:simpleType>
    </xsd:element>
    <xsd:element name="Stand" ma:index="8" ma:displayName="Stand" ma:format="DateTime" ma:internalName="Stand">
      <xsd:simpleType>
        <xsd:restriction base="dms:DateTime"/>
      </xsd:simpleType>
    </xsd:element>
    <xsd:element name="FachlicheZustaendigkeit" ma:index="11" nillable="true" ma:displayName="Fachliche Zuständigkeit" ma:list="UserInfo" ma:internalName="FachlicheZustaendigkei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oeffentlichungAktuelles" ma:index="15" nillable="true" ma:displayName="Veröffentlichung Aktuelles" ma:default="False" ma:internalName="VeroeffentlichungAktuelles">
      <xsd:simpleType>
        <xsd:restriction base="dms:Boolean"/>
      </xsd:simpleType>
    </xsd:element>
    <xsd:element name="AktuellesBis" ma:index="16" nillable="true" ma:displayName="Aktuelles bis" ma:format="DateOnly" ma:internalName="AktuellesBis">
      <xsd:simpleType>
        <xsd:restriction base="dms:DateTime"/>
      </xsd:simpleType>
    </xsd:element>
    <xsd:element name="Archivierungswuerdig" ma:index="17" nillable="true" ma:displayName="Archivierungswürdig" ma:default="False" ma:internalName="Archivierungswuerdig">
      <xsd:simpleType>
        <xsd:restriction base="dms:Boolean"/>
      </xsd:simpleType>
    </xsd:element>
    <xsd:element name="KeineIndizierung" ma:index="18" nillable="true" ma:displayName="Keine Indizierung" ma:default="False" ma:internalName="KeineIndizierung">
      <xsd:simpleType>
        <xsd:restriction base="dms:Boolean"/>
      </xsd:simpleType>
    </xsd:element>
    <xsd:element name="ZeigeAufStartseite" ma:index="19" nillable="true" ma:displayName="Auf Startseite Anzeigen" ma:default="False" ma:internalName="ZeigeAufStartseite">
      <xsd:simpleType>
        <xsd:restriction base="dms:Boolean"/>
      </xsd:simpleType>
    </xsd:element>
    <xsd:element name="BAGueltigBis" ma:index="21" ma:displayName="Gültig bis" ma:format="DateOnly" ma:internalName="BAGueltigBis">
      <xsd:simpleType>
        <xsd:restriction base="dms:DateTime"/>
      </xsd:simpleType>
    </xsd:element>
    <xsd:element name="Archiviert" ma:index="22" nillable="true" ma:displayName="Archiviert" ma:default="False" ma:hidden="true" ma:internalName="Archivier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26e7e15-26a6-4681-83db-7f2bb92fcb21" elementFormDefault="qualified">
    <xsd:import namespace="http://schemas.microsoft.com/office/2006/documentManagement/types"/>
    <xsd:import namespace="http://schemas.microsoft.com/office/infopath/2007/PartnerControls"/>
    <xsd:element name="TaxCatchAll" ma:index="4" nillable="true" ma:displayName="Taxonomiespalte &quot;Alle abfangen&quot;" ma:description="" ma:hidden="true" ma:list="{afeead1c-2fe3-40a4-966a-1a580381555e}" ma:internalName="TaxCatchAll" ma:showField="CatchAllData" ma:web="326e7e15-26a6-4681-83db-7f2bb92fcb21">
      <xsd:complexType>
        <xsd:complexContent>
          <xsd:extension base="dms:MultiChoiceLookup">
            <xsd:sequence>
              <xsd:element name="Value" type="dms:Lookup" maxOccurs="unbounded" minOccurs="0" nillable="true"/>
            </xsd:sequence>
          </xsd:extension>
        </xsd:complexContent>
      </xsd:complexType>
    </xsd:element>
    <xsd:element name="TaxCatchAllLabel" ma:index="5" nillable="true" ma:displayName="Taxonomiespalte &quot;Alle abfangen&quot;1" ma:description="" ma:hidden="true" ma:list="{afeead1c-2fe3-40a4-966a-1a580381555e}" ma:internalName="TaxCatchAllLabel" ma:readOnly="true" ma:showField="CatchAllDataLabel" ma:web="326e7e15-26a6-4681-83db-7f2bb92fcb21">
      <xsd:complexType>
        <xsd:complexContent>
          <xsd:extension base="dms:MultiChoiceLookup">
            <xsd:sequence>
              <xsd:element name="Value" type="dms:Lookup" maxOccurs="unbounded" minOccurs="0" nillable="true"/>
            </xsd:sequence>
          </xsd:extension>
        </xsd:complexContent>
      </xsd:complexType>
    </xsd:element>
    <xsd:element name="Zustaendigkeiten" ma:index="10" ma:displayName="Zuständigkeiten" ma:list="UserInfo" ma:internalName="Zustaendigkeiten">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ARollenTaxHTField0" ma:index="23" nillable="true" ma:taxonomy="true" ma:internalName="BARollenTaxHTField0" ma:taxonomyFieldName="BARollen" ma:displayName="BA Rollen" ma:readOnly="false" ma:fieldId="{32915c7e-c17e-42b4-81f1-869991fbf5a0}" ma:taxonomyMulti="true" ma:sspId="6ce76478-e3d2-4498-b46a-8f9b639766fc" ma:termSetId="b304e69f-436d-4669-95d2-e0f04c3cad51" ma:anchorId="00000000-0000-0000-0000-000000000000" ma:open="true" ma:isKeyword="false">
      <xsd:complexType>
        <xsd:sequence>
          <xsd:element ref="pc:Terms" minOccurs="0" maxOccurs="1"/>
        </xsd:sequence>
      </xsd:complexType>
    </xsd:element>
    <xsd:element name="FachverfahrenTaxHTField0" ma:index="25" nillable="true" ma:taxonomy="true" ma:internalName="FachverfahrenTaxHTField0" ma:taxonomyFieldName="Fachverfahren" ma:displayName="Fachverfahren" ma:readOnly="false" ma:fieldId="{bc90efdb-441f-46f1-8bfb-b95e36d75339}" ma:taxonomyMulti="true" ma:sspId="6ce76478-e3d2-4498-b46a-8f9b639766fc" ma:termSetId="579b4976-902d-437e-a846-564da8fca8fe" ma:anchorId="00000000-0000-0000-0000-000000000000" ma:open="true" ma:isKeyword="false">
      <xsd:complexType>
        <xsd:sequence>
          <xsd:element ref="pc:Terms" minOccurs="0" maxOccurs="1"/>
        </xsd:sequence>
      </xsd:complexType>
    </xsd:element>
    <xsd:element name="AlleLeser" ma:index="27" nillable="true" ma:displayName="Alle Leser" ma:default="1" ma:description="Rollenunabhängige Information (Alle Leser)" ma:internalName="AlleLeser">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Gültig ab"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_dlc_ExpireDate" ma:index="28" nillable="true" ma:displayName="Ablaufdatum" ma:description="" ma:hidden="true" ma:indexed="true" ma:internalName="_dlc_ExpireDate" ma:readOnly="true">
      <xsd:simpleType>
        <xsd:restriction base="dms:DateTime"/>
      </xsd:simpleType>
    </xsd:element>
    <xsd:element name="_dlc_Exempt" ma:index="29" nillable="true" ma:displayName="Von der Richtlinie ausgenommen" ma:hidden="true" ma:internalName="_dlc_Exempt" ma:readOnly="true">
      <xsd:simpleType>
        <xsd:restriction base="dms:Unknown"/>
      </xsd:simpleType>
    </xsd:element>
    <xsd:element name="_dlc_ExpireDateSaved" ma:index="30" nillable="true" ma:displayName="Ursprüngliches Ablaufdatum" ma:hidden="true" ma:internalName="_dlc_ExpireDateSaved"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axOccurs="1" ma:index="6"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A6C74C97-CAE6-4E87-B2B0-7E66B14C2BF0" local="false">
  <p:Name>Wiedervorlage</p:Name>
  <p:Description/>
  <p:Statement/>
  <p:PolicyItems>
    <p:PolicyItem featureId="Microsoft.Office.RecordsManagement.PolicyFeatures.Expiration" staticId="0x0101001CF96C0210194FB2B5E0D8BCB7BAF923|793854149" UniqueId="799df834-3662-4304-abf2-655c208a9db4">
      <p:Name>Retention</p:Name>
      <p:Description>Automatic scheduling of content for processing, and performing a retention action on content that has reached its due date.</p:Description>
      <p:CustomData>
        <Schedules nextStageId="4">
          <Schedule type="default">
            <stages>
              <data stageId="1">
                <formula id="Erste Wiedervorlage Ereignis"/>
                <action type="action" id="Erste Wiedervorlage Aktion"/>
              </data>
              <data stageId="2">
                <formula id="Archivierung Ereignis"/>
                <action type="action" id="Archivierung Aktion"/>
              </data>
              <data stageId="3">
                <formula id="Zweite Wiedervorlage Ereignis"/>
                <action type="action" id="Zweite Wiedervorlage Aktion"/>
              </data>
            </stages>
          </Schedule>
        </Schedules>
      </p:CustomData>
    </p:PolicyItem>
  </p:PolicyItems>
</p:Policy>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MitfuehrendeAktenzeichenTaxHTField0 xmlns="90814f03-49bf-44ac-a0d1-bb6557c545a1">
      <Terms xmlns="http://schemas.microsoft.com/office/infopath/2007/PartnerControls">
        <TermInfo xmlns="http://schemas.microsoft.com/office/infopath/2007/PartnerControls">
          <TermName xmlns="http://schemas.microsoft.com/office/infopath/2007/PartnerControls">8525-Webkoordination</TermName>
          <TermId xmlns="http://schemas.microsoft.com/office/infopath/2007/PartnerControls">bf2350c5-5ccf-447b-b05f-98a702b6daca</TermId>
        </TermInfo>
      </Terms>
    </MitfuehrendeAktenzeichenTaxHTField0>
    <Archiviert xmlns="90814f03-49bf-44ac-a0d1-bb6557c545a1">false</Archiviert>
    <FederfuehrendesAktenzeichenTaxHTField0 xmlns="90814f03-49bf-44ac-a0d1-bb6557c545a1">
      <Terms xmlns="http://schemas.microsoft.com/office/infopath/2007/PartnerControls">
        <TermInfo xmlns="http://schemas.microsoft.com/office/infopath/2007/PartnerControls">
          <TermName xmlns="http://schemas.microsoft.com/office/infopath/2007/PartnerControls">8606-KiZ</TermName>
          <TermId xmlns="http://schemas.microsoft.com/office/infopath/2007/PartnerControls">961aca8e-b3fa-4808-b578-7c4311a60b0a</TermId>
        </TermInfo>
      </Terms>
    </FederfuehrendesAktenzeichenTaxHTField0>
    <Stand xmlns="90814f03-49bf-44ac-a0d1-bb6557c545a1">2023-06-29T22:00:00+00:00</Stand>
    <AktuellesBis xmlns="90814f03-49bf-44ac-a0d1-bb6557c545a1" xsi:nil="true"/>
    <TaxCatchAll xmlns="326e7e15-26a6-4681-83db-7f2bb92fcb21">
      <Value>2639</Value>
      <Value>6268</Value>
      <Value>4958</Value>
      <Value>5161</Value>
      <Value>2539</Value>
      <Value>3252</Value>
      <Value>4968</Value>
    </TaxCatchAll>
    <Kurzbeschreibung xmlns="90814f03-49bf-44ac-a0d1-bb6557c545a1">Berechnungshilfe Kinderzuschlag. Für die Berechnung von Bewilligungszeiträumen ab dem 01.07.2023</Kurzbeschreibung>
    <FachlicheZustaendigkeit xmlns="90814f03-49bf-44ac-a0d1-bb6557c545a1">
      <UserInfo>
        <DisplayName/>
        <AccountId xsi:nil="true"/>
        <AccountType/>
      </UserInfo>
    </FachlicheZustaendigkeit>
    <KeineIndizierung xmlns="90814f03-49bf-44ac-a0d1-bb6557c545a1">false</KeineIndizierung>
    <ZeigeAufStartseite xmlns="90814f03-49bf-44ac-a0d1-bb6557c545a1">false</ZeigeAufStartseite>
    <RaeumlicherGeltungsbereichTaxHTField0 xmlns="90814f03-49bf-44ac-a0d1-bb6557c545a1">
      <Terms xmlns="http://schemas.microsoft.com/office/infopath/2007/PartnerControls">
        <TermInfo xmlns="http://schemas.microsoft.com/office/infopath/2007/PartnerControls">
          <TermName xmlns="http://schemas.microsoft.com/office/infopath/2007/PartnerControls">zentral</TermName>
          <TermId xmlns="http://schemas.microsoft.com/office/infopath/2007/PartnerControls">b40d445c-72b9-4f7a-ad06-ed34ad857622</TermId>
        </TermInfo>
      </Terms>
    </RaeumlicherGeltungsbereichTaxHTField0>
    <BAGueltigBis xmlns="90814f03-49bf-44ac-a0d1-bb6557c545a1">2025-06-28T22:00:00+00:00</BAGueltigBis>
    <Archivierungswuerdig xmlns="90814f03-49bf-44ac-a0d1-bb6557c545a1">false</Archivierungswuerdig>
    <SchlagwortTaxHTField0 xmlns="90814f03-49bf-44ac-a0d1-bb6557c545a1">
      <Terms xmlns="http://schemas.microsoft.com/office/infopath/2007/PartnerControls">
        <TermInfo xmlns="http://schemas.microsoft.com/office/infopath/2007/PartnerControls">
          <TermName xmlns="http://schemas.microsoft.com/office/infopath/2007/PartnerControls">Berechnungshilfe</TermName>
          <TermId xmlns="http://schemas.microsoft.com/office/infopath/2007/PartnerControls">bfbf28f2-b86b-4f5f-88ce-ef2d87623772</TermId>
        </TermInfo>
        <TermInfo xmlns="http://schemas.microsoft.com/office/infopath/2007/PartnerControls">
          <TermName xmlns="http://schemas.microsoft.com/office/infopath/2007/PartnerControls">Kinderzuschlag</TermName>
          <TermId xmlns="http://schemas.microsoft.com/office/infopath/2007/PartnerControls">d234327a-af7b-4066-9ba6-4a89db5979a3</TermId>
        </TermInfo>
        <TermInfo xmlns="http://schemas.microsoft.com/office/infopath/2007/PartnerControls">
          <TermName xmlns="http://schemas.microsoft.com/office/infopath/2007/PartnerControls">KiZ</TermName>
          <TermId xmlns="http://schemas.microsoft.com/office/infopath/2007/PartnerControls">30ddf529-abe1-4480-a60a-c1288c808513</TermId>
        </TermInfo>
        <TermInfo xmlns="http://schemas.microsoft.com/office/infopath/2007/PartnerControls">
          <TermName xmlns="http://schemas.microsoft.com/office/infopath/2007/PartnerControls">Familienkasse</TermName>
          <TermId xmlns="http://schemas.microsoft.com/office/infopath/2007/PartnerControls">26ad8e6b-a6c8-4b2b-b625-b12076d5603a</TermId>
        </TermInfo>
      </Terms>
    </SchlagwortTaxHTField0>
    <PublishingStartDate xmlns="http://schemas.microsoft.com/sharepoint/v3" xsi:nil="true"/>
    <VeroeffentlichungAktuelles xmlns="90814f03-49bf-44ac-a0d1-bb6557c545a1">false</VeroeffentlichungAktuelles>
    <_dlc_ExpireDateSaved xmlns="http://schemas.microsoft.com/sharepoint/v3" xsi:nil="true"/>
    <_dlc_ExpireDate xmlns="http://schemas.microsoft.com/sharepoint/v3">2025-03-30T22:00:00+00:00</_dlc_ExpireDate>
    <AlleLeser xmlns="326e7e15-26a6-4681-83db-7f2bb92fcb21">false</AlleLeser>
    <FachverfahrenTaxHTField0 xmlns="326e7e15-26a6-4681-83db-7f2bb92fcb21">
      <Terms xmlns="http://schemas.microsoft.com/office/infopath/2007/PartnerControls"/>
    </FachverfahrenTaxHTField0>
    <BARollenTaxHTField0 xmlns="326e7e15-26a6-4681-83db-7f2bb92fcb21">
      <Terms xmlns="http://schemas.microsoft.com/office/infopath/2007/PartnerControls"/>
    </BARollenTaxHTField0>
    <Zustaendigkeiten xmlns="326e7e15-26a6-4681-83db-7f2bb92fcb21">
      <UserInfo>
        <DisplayName>i:0#.w|dst\b02500fb32</DisplayName>
        <AccountId>74</AccountId>
        <AccountType/>
      </UserInfo>
    </Zustaendigkeiten>
  </documentManagement>
</p:properties>
</file>

<file path=customXml/itemProps1.xml><?xml version="1.0" encoding="utf-8"?>
<ds:datastoreItem xmlns:ds="http://schemas.openxmlformats.org/officeDocument/2006/customXml" ds:itemID="{6E93B9C5-7997-4DEF-AFEF-DE5020719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814f03-49bf-44ac-a0d1-bb6557c545a1"/>
    <ds:schemaRef ds:uri="326e7e15-26a6-4681-83db-7f2bb92fcb21"/>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AB5FA2-514D-4674-9821-DDC997D5D0D6}">
  <ds:schemaRefs>
    <ds:schemaRef ds:uri="office.server.policy"/>
  </ds:schemaRefs>
</ds:datastoreItem>
</file>

<file path=customXml/itemProps3.xml><?xml version="1.0" encoding="utf-8"?>
<ds:datastoreItem xmlns:ds="http://schemas.openxmlformats.org/officeDocument/2006/customXml" ds:itemID="{2499458A-C92A-4B45-84CF-96176D5A98B8}">
  <ds:schemaRefs>
    <ds:schemaRef ds:uri="http://schemas.microsoft.com/sharepoint/events"/>
  </ds:schemaRefs>
</ds:datastoreItem>
</file>

<file path=customXml/itemProps4.xml><?xml version="1.0" encoding="utf-8"?>
<ds:datastoreItem xmlns:ds="http://schemas.openxmlformats.org/officeDocument/2006/customXml" ds:itemID="{25C20290-AC55-4CE0-A0F8-0FA4C5CFF474}">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326e7e15-26a6-4681-83db-7f2bb92fcb21"/>
    <ds:schemaRef ds:uri="http://schemas.microsoft.com/office/infopath/2007/PartnerControls"/>
    <ds:schemaRef ds:uri="http://schemas.microsoft.com/sharepoint/v3"/>
    <ds:schemaRef ds:uri="90814f03-49bf-44ac-a0d1-bb6557c545a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32</vt:i4>
      </vt:variant>
      <vt:variant>
        <vt:lpstr>Benannte Bereiche</vt:lpstr>
      </vt:variant>
      <vt:variant>
        <vt:i4>7</vt:i4>
      </vt:variant>
    </vt:vector>
  </HeadingPairs>
  <TitlesOfParts>
    <vt:vector size="39" baseType="lpstr">
      <vt:lpstr>Änderungshistorie</vt:lpstr>
      <vt:lpstr>BG</vt:lpstr>
      <vt:lpstr>Kurzantrag</vt:lpstr>
      <vt:lpstr>MEG</vt:lpstr>
      <vt:lpstr>AS</vt:lpstr>
      <vt:lpstr>EP</vt:lpstr>
      <vt:lpstr>K1</vt:lpstr>
      <vt:lpstr>K2</vt:lpstr>
      <vt:lpstr>K3</vt:lpstr>
      <vt:lpstr>K4</vt:lpstr>
      <vt:lpstr>K5</vt:lpstr>
      <vt:lpstr>K6</vt:lpstr>
      <vt:lpstr>K7</vt:lpstr>
      <vt:lpstr>K8</vt:lpstr>
      <vt:lpstr>K9</vt:lpstr>
      <vt:lpstr>K10</vt:lpstr>
      <vt:lpstr>K11</vt:lpstr>
      <vt:lpstr>K12</vt:lpstr>
      <vt:lpstr>K13</vt:lpstr>
      <vt:lpstr>K14</vt:lpstr>
      <vt:lpstr>K15</vt:lpstr>
      <vt:lpstr>BdU</vt:lpstr>
      <vt:lpstr>Vermögen</vt:lpstr>
      <vt:lpstr>Bedarfe</vt:lpstr>
      <vt:lpstr>Berechnung KiZ</vt:lpstr>
      <vt:lpstr>Kiz ab Januar 2025</vt:lpstr>
      <vt:lpstr>Patchwork</vt:lpstr>
      <vt:lpstr>Datenblatt</vt:lpstr>
      <vt:lpstr>Grundfreibeträge</vt:lpstr>
      <vt:lpstr>anteilige Wohnkosten</vt:lpstr>
      <vt:lpstr>Zusammenfassung</vt:lpstr>
      <vt:lpstr>Ablehnung (Kiz-31)</vt:lpstr>
      <vt:lpstr>Bedarfe!Druckbereich</vt:lpstr>
      <vt:lpstr>'Berechnung KiZ'!Druckbereich</vt:lpstr>
      <vt:lpstr>BG!Druckbereich</vt:lpstr>
      <vt:lpstr>'Kiz ab Januar 2025'!Druckbereich</vt:lpstr>
      <vt:lpstr>Kurzantrag!Druckbereich</vt:lpstr>
      <vt:lpstr>Patchwork!Druckbereich</vt:lpstr>
      <vt:lpstr>Vermögen!Druckbereich</vt:lpstr>
    </vt:vector>
  </TitlesOfParts>
  <Company>Bundesagentur für Arbeit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KiZ-Berechnungshilfe für die gE</dc:title>
  <dc:creator>Finking Melanie</dc:creator>
  <cp:lastModifiedBy>Semke Peer-Ilja</cp:lastModifiedBy>
  <cp:lastPrinted>2023-06-28T06:05:28Z</cp:lastPrinted>
  <dcterms:created xsi:type="dcterms:W3CDTF">2019-05-24T08:41:49Z</dcterms:created>
  <dcterms:modified xsi:type="dcterms:W3CDTF">2024-12-20T13:32:36Z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0x0101001CF96C0210194FB2B5E0D8BCB7BAF923|793854149</vt:lpwstr>
  </property>
  <property fmtid="{D5CDD505-2E9C-101B-9397-08002B2CF9AE}" pid="3" name="ContentTypeId">
    <vt:lpwstr>0x0101001CF96C0210194FB2B5E0D8BCB7BAF92300AA33FCE9F02D834DABADFC5607811096</vt:lpwstr>
  </property>
  <property fmtid="{D5CDD505-2E9C-101B-9397-08002B2CF9AE}" pid="4" name="Schlagwort">
    <vt:lpwstr>6268;#Berechnungshilfe|bfbf28f2-b86b-4f5f-88ce-ef2d87623772;#4968;#Kinderzuschlag|d234327a-af7b-4066-9ba6-4a89db5979a3;#5161;#KiZ|30ddf529-abe1-4480-a60a-c1288c808513;#4958;#Familienkasse|26ad8e6b-a6c8-4b2b-b625-b12076d5603a</vt:lpwstr>
  </property>
  <property fmtid="{D5CDD505-2E9C-101B-9397-08002B2CF9AE}" pid="5" name="FederfuehrendesAktenzeichen">
    <vt:lpwstr>2539;#8606-KiZ|961aca8e-b3fa-4808-b578-7c4311a60b0a</vt:lpwstr>
  </property>
  <property fmtid="{D5CDD505-2E9C-101B-9397-08002B2CF9AE}" pid="6" name="IntranetRollen">
    <vt:lpwstr/>
  </property>
  <property fmtid="{D5CDD505-2E9C-101B-9397-08002B2CF9AE}" pid="7" name="RaeumlicherGeltungsbereich">
    <vt:lpwstr>3252;#zentral|b40d445c-72b9-4f7a-ad06-ed34ad857622</vt:lpwstr>
  </property>
  <property fmtid="{D5CDD505-2E9C-101B-9397-08002B2CF9AE}" pid="8" name="MitfuehrendeAktenzeichen">
    <vt:lpwstr>2639;#8525-Webkoordination|bf2350c5-5ccf-447b-b05f-98a702b6daca</vt:lpwstr>
  </property>
  <property fmtid="{D5CDD505-2E9C-101B-9397-08002B2CF9AE}" pid="9" name="BARollen">
    <vt:lpwstr/>
  </property>
  <property fmtid="{D5CDD505-2E9C-101B-9397-08002B2CF9AE}" pid="10" name="Fachverfahren">
    <vt:lpwstr/>
  </property>
  <property fmtid="{D5CDD505-2E9C-101B-9397-08002B2CF9AE}" pid="11" name="IntranetRollenTaxHTField0">
    <vt:lpwstr/>
  </property>
  <property fmtid="{D5CDD505-2E9C-101B-9397-08002B2CF9AE}" pid="12" name="ItemRetentionFormula">
    <vt:lpwstr>&lt;formula id="Erste Wiedervorlage Ereignis" /&gt;</vt:lpwstr>
  </property>
</Properties>
</file>