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DieseArbeitsmappe"/>
  <xr:revisionPtr revIDLastSave="0" documentId="13_ncr:1_{71351445-420B-44C1-8A27-65F9EC18FCDD}" xr6:coauthVersionLast="36" xr6:coauthVersionMax="36" xr10:uidLastSave="{00000000-0000-0000-0000-000000000000}"/>
  <bookViews>
    <workbookView xWindow="0" yWindow="0" windowWidth="22260" windowHeight="12645" xr2:uid="{00000000-000D-0000-FFFF-FFFF00000000}"/>
  </bookViews>
  <sheets>
    <sheet name="Ortsauswahl" sheetId="1" r:id="rId1"/>
    <sheet name="KdU-Berechnung" sheetId="2" r:id="rId2"/>
    <sheet name="Zusicherung" sheetId="6" r:id="rId3"/>
    <sheet name="HeizK in Karenzzeit" sheetId="8" r:id="rId4"/>
    <sheet name="KdU+HeizK außerhalb Karenzzeit" sheetId="10" r:id="rId5"/>
    <sheet name="Daten" sheetId="3" r:id="rId6"/>
    <sheet name="Mietstufenzuordnung" sheetId="5" state="hidden" r:id="rId7"/>
    <sheet name="Straßen Bovenden (Ort)" sheetId="11" state="hidden" r:id="rId8"/>
    <sheet name="Straßen Rosdorf (Ort)" sheetId="12" state="hidden" r:id="rId9"/>
  </sheets>
  <definedNames>
    <definedName name="_xlnm._FilterDatabase" localSheetId="5" hidden="1">Daten!$H$85</definedName>
    <definedName name="_xlnm._FilterDatabase" localSheetId="0" hidden="1">Ortsauswahl!$C$5:$I$174</definedName>
    <definedName name="_xlnm.Print_Area" localSheetId="3">'HeizK in Karenzzeit'!$B$7:$BY$147</definedName>
    <definedName name="_xlnm.Print_Area" localSheetId="4">'KdU+HeizK außerhalb Karenzzeit'!$B$1:$BY$169</definedName>
    <definedName name="_xlnm.Print_Area" localSheetId="1">'KdU-Berechnung'!$B$1:$BY$228</definedName>
    <definedName name="_xlnm.Print_Area" localSheetId="2">Zusicherung!$B$4:$BY$88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3" l="1"/>
  <c r="J15" i="3"/>
  <c r="B182" i="1" l="1"/>
  <c r="O14" i="3"/>
  <c r="S14" i="3"/>
  <c r="AG55" i="8" l="1"/>
  <c r="AG67" i="10"/>
  <c r="AG65" i="10"/>
  <c r="AG53" i="8"/>
  <c r="D86" i="3"/>
  <c r="B59" i="8" l="1"/>
  <c r="B96" i="10"/>
  <c r="N162" i="10"/>
  <c r="B68" i="8"/>
  <c r="Y68" i="8"/>
  <c r="N160" i="10"/>
  <c r="N158" i="10"/>
  <c r="E265" i="3"/>
  <c r="O265" i="3"/>
  <c r="AG37" i="10"/>
  <c r="P89" i="3"/>
  <c r="P87" i="3"/>
  <c r="P85" i="3"/>
  <c r="P83" i="3"/>
  <c r="AG63" i="10"/>
  <c r="AG51" i="8"/>
  <c r="AG61" i="10"/>
  <c r="AG49" i="8"/>
  <c r="AG59" i="10"/>
  <c r="AG47" i="8"/>
  <c r="AG55" i="10"/>
  <c r="AG53" i="10"/>
  <c r="AG41" i="8"/>
  <c r="AG47" i="10"/>
  <c r="L47" i="10"/>
  <c r="AG45" i="10"/>
  <c r="L45" i="10"/>
  <c r="AG43" i="10"/>
  <c r="AG41" i="10"/>
  <c r="AG39" i="10"/>
  <c r="AG35" i="10"/>
  <c r="L51" i="6"/>
  <c r="AG29" i="10"/>
  <c r="AG27" i="10"/>
  <c r="AG25" i="10"/>
  <c r="AG13" i="10"/>
  <c r="AG9" i="10"/>
  <c r="AG7" i="10"/>
  <c r="AG5" i="10"/>
  <c r="AG43" i="8" l="1"/>
  <c r="AG35" i="8"/>
  <c r="AG33" i="8"/>
  <c r="AG31" i="8"/>
  <c r="AG19" i="8"/>
  <c r="AG15" i="8"/>
  <c r="AG13" i="8"/>
  <c r="AG11" i="8"/>
  <c r="AG35" i="6" l="1"/>
  <c r="AS54" i="3"/>
  <c r="AG53" i="6"/>
  <c r="AG51" i="6"/>
  <c r="AG49" i="6"/>
  <c r="AG47" i="6"/>
  <c r="AG45" i="6"/>
  <c r="AG43" i="6"/>
  <c r="AG41" i="6"/>
  <c r="L53" i="6"/>
  <c r="AG37" i="6"/>
  <c r="AG31" i="6"/>
  <c r="AG29" i="6"/>
  <c r="AG27" i="6"/>
  <c r="AG15" i="6"/>
  <c r="AG11" i="6"/>
  <c r="AG9" i="6"/>
  <c r="AG7" i="6"/>
  <c r="AG32" i="2" l="1"/>
  <c r="AG31" i="10" s="1"/>
  <c r="AG33" i="6" l="1"/>
  <c r="AG37" i="8"/>
  <c r="D53" i="3"/>
  <c r="BD30" i="2"/>
  <c r="K79" i="3" l="1"/>
  <c r="BD48" i="2"/>
  <c r="D105" i="3"/>
  <c r="D91" i="3"/>
  <c r="D85" i="3"/>
  <c r="D107" i="3" s="1"/>
  <c r="D83" i="3"/>
  <c r="S81" i="3" l="1"/>
  <c r="AV33" i="10"/>
  <c r="BI51" i="8"/>
  <c r="AW39" i="8"/>
  <c r="AU39" i="6"/>
  <c r="BO22" i="2"/>
  <c r="BE72" i="2"/>
  <c r="BE70" i="2"/>
  <c r="BE40" i="2"/>
  <c r="BE68" i="2"/>
  <c r="BE26" i="2"/>
  <c r="BO24" i="2"/>
  <c r="G544" i="3"/>
  <c r="G164" i="2" s="1"/>
  <c r="G594" i="3"/>
  <c r="C594" i="3"/>
  <c r="M566" i="3"/>
  <c r="BW72" i="2"/>
  <c r="C567" i="3"/>
  <c r="I567" i="3" s="1"/>
  <c r="G606" i="3"/>
  <c r="C568" i="3"/>
  <c r="I568" i="3" s="1"/>
  <c r="G618" i="3"/>
  <c r="BW40" i="2"/>
  <c r="BW68" i="2"/>
  <c r="BW70" i="2"/>
  <c r="BW26" i="2"/>
  <c r="AM179" i="2"/>
  <c r="AM177" i="2"/>
  <c r="AM175" i="2"/>
  <c r="AM171" i="2"/>
  <c r="AM169" i="2"/>
  <c r="AM167" i="2"/>
  <c r="I179" i="2"/>
  <c r="I177" i="2"/>
  <c r="I175" i="2"/>
  <c r="I171" i="2"/>
  <c r="I169" i="2"/>
  <c r="I167" i="2"/>
  <c r="BH47" i="10" l="1"/>
  <c r="BH39" i="10"/>
  <c r="BG55" i="6"/>
  <c r="BG47" i="6"/>
  <c r="BH43" i="10"/>
  <c r="BG43" i="6"/>
  <c r="BH45" i="10"/>
  <c r="BH37" i="10"/>
  <c r="BG53" i="6"/>
  <c r="BG45" i="6"/>
  <c r="BH63" i="10"/>
  <c r="BH35" i="10"/>
  <c r="BH49" i="10"/>
  <c r="BH41" i="10"/>
  <c r="BG49" i="6"/>
  <c r="BG41" i="6"/>
  <c r="BG51" i="6"/>
  <c r="Q568" i="3"/>
  <c r="Q567" i="3"/>
  <c r="D103" i="3"/>
  <c r="C161" i="3" s="1"/>
  <c r="AG50" i="2" s="1"/>
  <c r="BW52" i="2" l="1"/>
  <c r="BE50" i="2"/>
  <c r="BE52" i="2"/>
  <c r="BW50" i="2"/>
  <c r="BC169" i="2"/>
  <c r="BC171" i="2"/>
  <c r="Y179" i="2"/>
  <c r="Y177" i="2"/>
  <c r="B545" i="3"/>
  <c r="J362" i="3"/>
  <c r="D87" i="3" l="1"/>
  <c r="D89" i="3" s="1"/>
  <c r="D93" i="3" l="1"/>
  <c r="C353" i="3"/>
  <c r="C566" i="3" l="1"/>
  <c r="I566" i="3" s="1"/>
  <c r="Q566" i="3" s="1"/>
  <c r="G600" i="3"/>
  <c r="C352" i="3"/>
  <c r="Y171" i="2" l="1"/>
  <c r="Y169" i="2"/>
  <c r="C354" i="3"/>
  <c r="C356" i="3" s="1"/>
  <c r="D113" i="3"/>
  <c r="C155" i="3"/>
  <c r="C154" i="3"/>
  <c r="C153" i="3"/>
  <c r="C152" i="3"/>
  <c r="C151" i="3"/>
  <c r="C150" i="3"/>
  <c r="C149" i="3"/>
  <c r="C148" i="3"/>
  <c r="C147" i="3"/>
  <c r="C146" i="3"/>
  <c r="A155" i="3"/>
  <c r="A154" i="3"/>
  <c r="A153" i="3"/>
  <c r="A152" i="3"/>
  <c r="A151" i="3"/>
  <c r="A150" i="3"/>
  <c r="A149" i="3"/>
  <c r="A148" i="3"/>
  <c r="A147" i="3"/>
  <c r="A146" i="3"/>
  <c r="D64" i="3"/>
  <c r="D109" i="3"/>
  <c r="D133" i="3" s="1"/>
  <c r="D101" i="3"/>
  <c r="D99" i="3"/>
  <c r="D207" i="3" s="1"/>
  <c r="D97" i="3"/>
  <c r="D95" i="3"/>
  <c r="D79" i="3"/>
  <c r="G596" i="3" s="1"/>
  <c r="D62" i="3"/>
  <c r="BD40" i="2" s="1"/>
  <c r="D61" i="3"/>
  <c r="BD70" i="2" s="1"/>
  <c r="D60" i="3"/>
  <c r="BD26" i="2" s="1"/>
  <c r="D59" i="3"/>
  <c r="BD44" i="2" s="1"/>
  <c r="D58" i="3"/>
  <c r="BD36" i="2" s="1"/>
  <c r="D57" i="3"/>
  <c r="D55" i="3"/>
  <c r="D54" i="3"/>
  <c r="AW24" i="2" s="1"/>
  <c r="D56" i="3"/>
  <c r="BD32" i="2" s="1"/>
  <c r="D52" i="3"/>
  <c r="D50" i="3"/>
  <c r="BF8" i="2" s="1"/>
  <c r="A175" i="3" l="1"/>
  <c r="A174" i="3"/>
  <c r="A173" i="3"/>
  <c r="A172" i="3"/>
  <c r="A274" i="3"/>
  <c r="A273" i="3"/>
  <c r="A275" i="3"/>
  <c r="N111" i="10"/>
  <c r="N110" i="10"/>
  <c r="W119" i="10"/>
  <c r="N116" i="10"/>
  <c r="N112" i="10"/>
  <c r="N119" i="10"/>
  <c r="N115" i="10"/>
  <c r="W118" i="10"/>
  <c r="N118" i="10"/>
  <c r="W112" i="10"/>
  <c r="W113" i="10"/>
  <c r="AM70" i="6"/>
  <c r="L135" i="3"/>
  <c r="M265" i="3" s="1"/>
  <c r="N96" i="2"/>
  <c r="A171" i="3"/>
  <c r="A272" i="3"/>
  <c r="A170" i="3"/>
  <c r="BD28" i="2"/>
  <c r="K80" i="3"/>
  <c r="D131" i="3"/>
  <c r="F133" i="3" s="1"/>
  <c r="D135" i="3" s="1"/>
  <c r="W99" i="2"/>
  <c r="W100" i="2"/>
  <c r="W108" i="2"/>
  <c r="N108" i="2"/>
  <c r="N107" i="2"/>
  <c r="W107" i="2"/>
  <c r="N104" i="2"/>
  <c r="N97" i="2"/>
  <c r="N99" i="2"/>
  <c r="N105" i="2"/>
  <c r="A192" i="3"/>
  <c r="A191" i="3"/>
  <c r="A190" i="3"/>
  <c r="A189" i="3"/>
  <c r="C142" i="3"/>
  <c r="BW8" i="2"/>
  <c r="D51" i="3"/>
  <c r="L6" i="5" l="1"/>
  <c r="E6" i="1" s="1"/>
  <c r="L14" i="5"/>
  <c r="L22" i="5"/>
  <c r="E22" i="1" s="1"/>
  <c r="L30" i="5"/>
  <c r="E30" i="1" s="1"/>
  <c r="L38" i="5"/>
  <c r="E38" i="1" s="1"/>
  <c r="L46" i="5"/>
  <c r="E46" i="1" s="1"/>
  <c r="L54" i="5"/>
  <c r="E54" i="1" s="1"/>
  <c r="L62" i="5"/>
  <c r="E62" i="1" s="1"/>
  <c r="L70" i="5"/>
  <c r="E70" i="1" s="1"/>
  <c r="L78" i="5"/>
  <c r="E78" i="1" s="1"/>
  <c r="L86" i="5"/>
  <c r="E86" i="1" s="1"/>
  <c r="L94" i="5"/>
  <c r="E94" i="1" s="1"/>
  <c r="L102" i="5"/>
  <c r="E102" i="1" s="1"/>
  <c r="L110" i="5"/>
  <c r="E110" i="1" s="1"/>
  <c r="L118" i="5"/>
  <c r="E118" i="1" s="1"/>
  <c r="L126" i="5"/>
  <c r="E126" i="1" s="1"/>
  <c r="L134" i="5"/>
  <c r="E134" i="1" s="1"/>
  <c r="L142" i="5"/>
  <c r="E142" i="1" s="1"/>
  <c r="L150" i="5"/>
  <c r="E150" i="1" s="1"/>
  <c r="L158" i="5"/>
  <c r="E158" i="1" s="1"/>
  <c r="L166" i="5"/>
  <c r="E166" i="1" s="1"/>
  <c r="L174" i="5"/>
  <c r="E174" i="1" s="1"/>
  <c r="L119" i="5"/>
  <c r="E119" i="1" s="1"/>
  <c r="L135" i="5"/>
  <c r="E135" i="1" s="1"/>
  <c r="L151" i="5"/>
  <c r="E151" i="1" s="1"/>
  <c r="L159" i="5"/>
  <c r="E159" i="1" s="1"/>
  <c r="L175" i="5"/>
  <c r="L80" i="5"/>
  <c r="E80" i="1" s="1"/>
  <c r="L136" i="5"/>
  <c r="E136" i="1" s="1"/>
  <c r="L168" i="5"/>
  <c r="E168" i="1" s="1"/>
  <c r="L176" i="5"/>
  <c r="L17" i="5"/>
  <c r="E17" i="1" s="1"/>
  <c r="L65" i="5"/>
  <c r="E65" i="1" s="1"/>
  <c r="L105" i="5"/>
  <c r="E105" i="1" s="1"/>
  <c r="L129" i="5"/>
  <c r="E129" i="1" s="1"/>
  <c r="L153" i="5"/>
  <c r="E153" i="1" s="1"/>
  <c r="L169" i="5"/>
  <c r="E169" i="1" s="1"/>
  <c r="L26" i="5"/>
  <c r="E26" i="1" s="1"/>
  <c r="L90" i="5"/>
  <c r="E90" i="1" s="1"/>
  <c r="L106" i="5"/>
  <c r="E106" i="1" s="1"/>
  <c r="L146" i="5"/>
  <c r="E146" i="1" s="1"/>
  <c r="L27" i="5"/>
  <c r="E27" i="1" s="1"/>
  <c r="L83" i="5"/>
  <c r="E83" i="1" s="1"/>
  <c r="L139" i="5"/>
  <c r="E139" i="1" s="1"/>
  <c r="L163" i="5"/>
  <c r="E163" i="1" s="1"/>
  <c r="L36" i="5"/>
  <c r="E36" i="1" s="1"/>
  <c r="L76" i="5"/>
  <c r="E76" i="1" s="1"/>
  <c r="L124" i="5"/>
  <c r="E124" i="1" s="1"/>
  <c r="L164" i="5"/>
  <c r="L77" i="5"/>
  <c r="L7" i="5"/>
  <c r="L15" i="5"/>
  <c r="E15" i="1" s="1"/>
  <c r="L23" i="5"/>
  <c r="E23" i="1" s="1"/>
  <c r="L31" i="5"/>
  <c r="E31" i="1" s="1"/>
  <c r="L39" i="5"/>
  <c r="E39" i="1" s="1"/>
  <c r="L47" i="5"/>
  <c r="E47" i="1" s="1"/>
  <c r="L55" i="5"/>
  <c r="E55" i="1" s="1"/>
  <c r="L63" i="5"/>
  <c r="L71" i="5"/>
  <c r="E71" i="1" s="1"/>
  <c r="L79" i="5"/>
  <c r="E79" i="1" s="1"/>
  <c r="L87" i="5"/>
  <c r="E87" i="1" s="1"/>
  <c r="L95" i="5"/>
  <c r="E95" i="1" s="1"/>
  <c r="L103" i="5"/>
  <c r="E103" i="1" s="1"/>
  <c r="L111" i="5"/>
  <c r="E111" i="1" s="1"/>
  <c r="L127" i="5"/>
  <c r="E127" i="1" s="1"/>
  <c r="L143" i="5"/>
  <c r="E143" i="1" s="1"/>
  <c r="L167" i="5"/>
  <c r="E167" i="1" s="1"/>
  <c r="L88" i="5"/>
  <c r="E88" i="1" s="1"/>
  <c r="L120" i="5"/>
  <c r="E120" i="1" s="1"/>
  <c r="L144" i="5"/>
  <c r="E144" i="1" s="1"/>
  <c r="L160" i="5"/>
  <c r="E160" i="1" s="1"/>
  <c r="L41" i="5"/>
  <c r="E41" i="1" s="1"/>
  <c r="L81" i="5"/>
  <c r="E81" i="1" s="1"/>
  <c r="L113" i="5"/>
  <c r="L145" i="5"/>
  <c r="E145" i="1" s="1"/>
  <c r="L18" i="5"/>
  <c r="E18" i="1" s="1"/>
  <c r="L58" i="5"/>
  <c r="E58" i="1" s="1"/>
  <c r="L98" i="5"/>
  <c r="E98" i="1" s="1"/>
  <c r="L138" i="5"/>
  <c r="E138" i="1" s="1"/>
  <c r="L170" i="5"/>
  <c r="E170" i="1" s="1"/>
  <c r="L43" i="5"/>
  <c r="E43" i="1" s="1"/>
  <c r="L59" i="5"/>
  <c r="E59" i="1" s="1"/>
  <c r="L99" i="5"/>
  <c r="E99" i="1" s="1"/>
  <c r="L131" i="5"/>
  <c r="E131" i="1" s="1"/>
  <c r="L171" i="5"/>
  <c r="E171" i="1" s="1"/>
  <c r="L20" i="5"/>
  <c r="E20" i="1" s="1"/>
  <c r="L100" i="5"/>
  <c r="E100" i="1" s="1"/>
  <c r="L172" i="5"/>
  <c r="E172" i="1" s="1"/>
  <c r="L117" i="5"/>
  <c r="L133" i="5"/>
  <c r="E133" i="1" s="1"/>
  <c r="L173" i="5"/>
  <c r="E173" i="1" s="1"/>
  <c r="L8" i="5"/>
  <c r="E8" i="1" s="1"/>
  <c r="L16" i="5"/>
  <c r="E16" i="1" s="1"/>
  <c r="L24" i="5"/>
  <c r="E24" i="1" s="1"/>
  <c r="L32" i="5"/>
  <c r="E32" i="1" s="1"/>
  <c r="L40" i="5"/>
  <c r="E40" i="1" s="1"/>
  <c r="L48" i="5"/>
  <c r="E48" i="1" s="1"/>
  <c r="L56" i="5"/>
  <c r="E56" i="1" s="1"/>
  <c r="L64" i="5"/>
  <c r="E64" i="1" s="1"/>
  <c r="L72" i="5"/>
  <c r="E72" i="1" s="1"/>
  <c r="L96" i="5"/>
  <c r="E96" i="1" s="1"/>
  <c r="L104" i="5"/>
  <c r="E104" i="1" s="1"/>
  <c r="L112" i="5"/>
  <c r="E112" i="1" s="1"/>
  <c r="L128" i="5"/>
  <c r="E128" i="1" s="1"/>
  <c r="L152" i="5"/>
  <c r="E152" i="1" s="1"/>
  <c r="L33" i="5"/>
  <c r="L89" i="5"/>
  <c r="E89" i="1" s="1"/>
  <c r="L137" i="5"/>
  <c r="E137" i="1" s="1"/>
  <c r="L5" i="5"/>
  <c r="E5" i="1" s="1"/>
  <c r="L42" i="5"/>
  <c r="E42" i="1" s="1"/>
  <c r="L74" i="5"/>
  <c r="E74" i="1" s="1"/>
  <c r="L122" i="5"/>
  <c r="E122" i="1" s="1"/>
  <c r="L162" i="5"/>
  <c r="E162" i="1" s="1"/>
  <c r="L19" i="5"/>
  <c r="L91" i="5"/>
  <c r="E91" i="1" s="1"/>
  <c r="L147" i="5"/>
  <c r="E147" i="1" s="1"/>
  <c r="L44" i="5"/>
  <c r="E44" i="1" s="1"/>
  <c r="L68" i="5"/>
  <c r="E68" i="1" s="1"/>
  <c r="L116" i="5"/>
  <c r="E116" i="1" s="1"/>
  <c r="L69" i="5"/>
  <c r="E69" i="1" s="1"/>
  <c r="L9" i="5"/>
  <c r="E9" i="1" s="1"/>
  <c r="L25" i="5"/>
  <c r="E25" i="1" s="1"/>
  <c r="L49" i="5"/>
  <c r="E49" i="1" s="1"/>
  <c r="L57" i="5"/>
  <c r="E57" i="1" s="1"/>
  <c r="L73" i="5"/>
  <c r="E73" i="1" s="1"/>
  <c r="L97" i="5"/>
  <c r="E97" i="1" s="1"/>
  <c r="L121" i="5"/>
  <c r="E121" i="1" s="1"/>
  <c r="L161" i="5"/>
  <c r="E161" i="1" s="1"/>
  <c r="L50" i="5"/>
  <c r="E50" i="1" s="1"/>
  <c r="L82" i="5"/>
  <c r="L130" i="5"/>
  <c r="E130" i="1" s="1"/>
  <c r="L154" i="5"/>
  <c r="E154" i="1" s="1"/>
  <c r="L35" i="5"/>
  <c r="E35" i="1" s="1"/>
  <c r="L67" i="5"/>
  <c r="E67" i="1" s="1"/>
  <c r="L123" i="5"/>
  <c r="E123" i="1" s="1"/>
  <c r="L12" i="5"/>
  <c r="E12" i="1" s="1"/>
  <c r="L84" i="5"/>
  <c r="E84" i="1" s="1"/>
  <c r="L132" i="5"/>
  <c r="L156" i="5"/>
  <c r="E156" i="1" s="1"/>
  <c r="L101" i="5"/>
  <c r="E101" i="1" s="1"/>
  <c r="L149" i="5"/>
  <c r="E149" i="1" s="1"/>
  <c r="L10" i="5"/>
  <c r="E10" i="1" s="1"/>
  <c r="L34" i="5"/>
  <c r="E34" i="1" s="1"/>
  <c r="L66" i="5"/>
  <c r="E66" i="1" s="1"/>
  <c r="L114" i="5"/>
  <c r="E114" i="1" s="1"/>
  <c r="L51" i="5"/>
  <c r="E51" i="1" s="1"/>
  <c r="L75" i="5"/>
  <c r="E75" i="1" s="1"/>
  <c r="L107" i="5"/>
  <c r="E107" i="1" s="1"/>
  <c r="L155" i="5"/>
  <c r="E155" i="1" s="1"/>
  <c r="L28" i="5"/>
  <c r="E28" i="1" s="1"/>
  <c r="L108" i="5"/>
  <c r="E108" i="1" s="1"/>
  <c r="L140" i="5"/>
  <c r="E140" i="1" s="1"/>
  <c r="L85" i="5"/>
  <c r="E85" i="1" s="1"/>
  <c r="L141" i="5"/>
  <c r="E141" i="1" s="1"/>
  <c r="L11" i="5"/>
  <c r="E11" i="1" s="1"/>
  <c r="L115" i="5"/>
  <c r="E115" i="1" s="1"/>
  <c r="L52" i="5"/>
  <c r="E52" i="1" s="1"/>
  <c r="L60" i="5"/>
  <c r="E60" i="1" s="1"/>
  <c r="L92" i="5"/>
  <c r="E92" i="1" s="1"/>
  <c r="L148" i="5"/>
  <c r="E148" i="1" s="1"/>
  <c r="L109" i="5"/>
  <c r="E109" i="1" s="1"/>
  <c r="L125" i="5"/>
  <c r="E125" i="1" s="1"/>
  <c r="L165" i="5"/>
  <c r="E165" i="1" s="1"/>
  <c r="L13" i="5"/>
  <c r="E13" i="1" s="1"/>
  <c r="L21" i="5"/>
  <c r="E21" i="1" s="1"/>
  <c r="L29" i="5"/>
  <c r="E29" i="1" s="1"/>
  <c r="L37" i="5"/>
  <c r="E37" i="1" s="1"/>
  <c r="L45" i="5"/>
  <c r="E45" i="1" s="1"/>
  <c r="L53" i="5"/>
  <c r="E53" i="1" s="1"/>
  <c r="L61" i="5"/>
  <c r="E61" i="1" s="1"/>
  <c r="L93" i="5"/>
  <c r="E93" i="1" s="1"/>
  <c r="L157" i="5"/>
  <c r="E157" i="1" s="1"/>
  <c r="BB165" i="10"/>
  <c r="AV165" i="10"/>
  <c r="Z82" i="2"/>
  <c r="Z94" i="10"/>
  <c r="H107" i="3"/>
  <c r="BP50" i="2" s="1"/>
  <c r="Q83" i="3"/>
  <c r="Q89" i="3"/>
  <c r="Q85" i="3"/>
  <c r="Q87" i="3"/>
  <c r="H515" i="3"/>
  <c r="E14" i="1"/>
  <c r="E82" i="1"/>
  <c r="E33" i="1"/>
  <c r="E7" i="1"/>
  <c r="E19" i="1"/>
  <c r="E63" i="1"/>
  <c r="E77" i="1"/>
  <c r="E117" i="1"/>
  <c r="E132" i="1"/>
  <c r="E164" i="1"/>
  <c r="E113" i="1"/>
  <c r="E285" i="3"/>
  <c r="F285" i="3" s="1"/>
  <c r="H89" i="3"/>
  <c r="AV49" i="10" s="1"/>
  <c r="H83" i="3"/>
  <c r="H93" i="3"/>
  <c r="C600" i="3" s="1"/>
  <c r="G576" i="3" s="1"/>
  <c r="H91" i="3"/>
  <c r="AV37" i="10" s="1"/>
  <c r="H105" i="3"/>
  <c r="H85" i="3"/>
  <c r="D363" i="3"/>
  <c r="O435" i="3" s="1"/>
  <c r="D362" i="3"/>
  <c r="F301" i="3"/>
  <c r="D183" i="3"/>
  <c r="B254" i="3" s="1"/>
  <c r="C265" i="3"/>
  <c r="D194" i="3"/>
  <c r="BD38" i="2"/>
  <c r="BF12" i="2"/>
  <c r="D47" i="3"/>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H5" i="1"/>
  <c r="G5" i="1"/>
  <c r="B64" i="8" l="1"/>
  <c r="B65" i="6"/>
  <c r="Z90" i="10"/>
  <c r="C443" i="3"/>
  <c r="B443" i="3"/>
  <c r="AU45" i="6"/>
  <c r="AV39" i="10"/>
  <c r="AV47" i="10"/>
  <c r="AU53" i="6"/>
  <c r="AV45" i="10"/>
  <c r="AU51" i="6"/>
  <c r="AV43" i="10"/>
  <c r="AU49" i="6"/>
  <c r="AV41" i="10"/>
  <c r="AU47" i="6"/>
  <c r="Z78" i="2"/>
  <c r="M21" i="10" s="1"/>
  <c r="AG45" i="8"/>
  <c r="AG57" i="10"/>
  <c r="AU41" i="6"/>
  <c r="AV35" i="10"/>
  <c r="C143" i="3"/>
  <c r="C301" i="3"/>
  <c r="C606" i="3"/>
  <c r="G578" i="3" s="1"/>
  <c r="AU43" i="6"/>
  <c r="BP70" i="2"/>
  <c r="AU55" i="6"/>
  <c r="BP68" i="2"/>
  <c r="BO40" i="2"/>
  <c r="BO26" i="2"/>
  <c r="C618" i="3"/>
  <c r="G587" i="3" s="1"/>
  <c r="B372" i="3"/>
  <c r="E504" i="3"/>
  <c r="Y63" i="8" s="1"/>
  <c r="L372" i="3"/>
  <c r="E505" i="3"/>
  <c r="Y64" i="8" s="1"/>
  <c r="C163" i="3"/>
  <c r="G612" i="3" s="1"/>
  <c r="BP52" i="2"/>
  <c r="BP72" i="2"/>
  <c r="E507" i="3"/>
  <c r="B401" i="3"/>
  <c r="L401" i="3"/>
  <c r="B544" i="3"/>
  <c r="B543" i="3"/>
  <c r="E435" i="3"/>
  <c r="B259" i="3"/>
  <c r="B255" i="3"/>
  <c r="B257" i="3"/>
  <c r="E183" i="3"/>
  <c r="Z92" i="10" s="1"/>
  <c r="B258" i="3"/>
  <c r="B256" i="3"/>
  <c r="D217" i="3"/>
  <c r="B249" i="3" s="1"/>
  <c r="Z8" i="2"/>
  <c r="BM46" i="2"/>
  <c r="B253" i="3" l="1"/>
  <c r="B252" i="3"/>
  <c r="M23" i="6"/>
  <c r="D157" i="3"/>
  <c r="E373" i="3" s="1"/>
  <c r="M27" i="8"/>
  <c r="Z80" i="2"/>
  <c r="Z92" i="2"/>
  <c r="Z106" i="10"/>
  <c r="BB149" i="10"/>
  <c r="Z104" i="10"/>
  <c r="AW51" i="8"/>
  <c r="AV63" i="10"/>
  <c r="AG61" i="6"/>
  <c r="B251" i="3"/>
  <c r="B250" i="3"/>
  <c r="C569" i="3"/>
  <c r="I569" i="3" s="1"/>
  <c r="Q569" i="3" s="1"/>
  <c r="C612" i="3"/>
  <c r="G585" i="3" s="1"/>
  <c r="B402" i="3"/>
  <c r="B404" i="3" s="1"/>
  <c r="L402" i="3"/>
  <c r="L404" i="3" s="1"/>
  <c r="L444" i="3" s="1"/>
  <c r="E508" i="3"/>
  <c r="Y67" i="8" s="1"/>
  <c r="AG68" i="2"/>
  <c r="L443" i="3"/>
  <c r="B248" i="3"/>
  <c r="AO92" i="2" l="1"/>
  <c r="N156" i="2" s="1"/>
  <c r="AO106" i="10"/>
  <c r="N163" i="10" s="1"/>
  <c r="C444" i="3"/>
  <c r="B444" i="3"/>
  <c r="BC177" i="2"/>
  <c r="AG55" i="6"/>
  <c r="AG49" i="10"/>
  <c r="H261" i="3"/>
  <c r="BC179" i="2"/>
  <c r="L445" i="3"/>
  <c r="AG72" i="2"/>
  <c r="BB139" i="2"/>
  <c r="Z90" i="2"/>
  <c r="E509" i="3"/>
  <c r="BM104" i="10" l="1"/>
  <c r="BB162" i="10" s="1"/>
  <c r="Y66" i="8"/>
  <c r="B445" i="3"/>
  <c r="C445" i="3"/>
  <c r="Q263" i="3"/>
  <c r="Q265" i="3" s="1"/>
  <c r="G263" i="3"/>
  <c r="G265" i="3" s="1"/>
  <c r="F444" i="3" s="1"/>
  <c r="A265" i="3"/>
  <c r="K265" i="3"/>
  <c r="Z263" i="3"/>
  <c r="Z265" i="3" s="1"/>
  <c r="BM90" i="2"/>
  <c r="BB155" i="2" s="1"/>
  <c r="E520" i="3"/>
  <c r="G444" i="3" l="1"/>
  <c r="AS72" i="8"/>
  <c r="BB127" i="10"/>
  <c r="BB116" i="2"/>
  <c r="P504" i="3"/>
  <c r="G401" i="3"/>
  <c r="O401" i="3"/>
  <c r="O408" i="3" s="1"/>
  <c r="F469" i="3" l="1"/>
  <c r="S407" i="3"/>
  <c r="F481" i="3"/>
  <c r="O416" i="3"/>
  <c r="O427" i="3" s="1"/>
  <c r="I407" i="3"/>
  <c r="P459" i="3"/>
  <c r="E517" i="3"/>
  <c r="P444" i="3"/>
  <c r="P460" i="3" s="1"/>
  <c r="F493" i="3"/>
  <c r="O426" i="3"/>
  <c r="S408" i="3"/>
  <c r="S416" i="3" l="1"/>
  <c r="B184" i="1" l="1"/>
  <c r="O15" i="3"/>
  <c r="B185" i="1"/>
  <c r="S15" i="3"/>
  <c r="S16" i="3" l="1"/>
  <c r="O20" i="3"/>
  <c r="M20" i="3" s="1"/>
  <c r="C180" i="1" s="1"/>
  <c r="B14" i="2" s="1"/>
  <c r="O16" i="3"/>
  <c r="C20" i="3"/>
  <c r="C21" i="3"/>
  <c r="B187" i="1" l="1"/>
  <c r="AG15" i="10"/>
  <c r="AG17" i="6"/>
  <c r="AG21" i="8"/>
  <c r="D48" i="3"/>
  <c r="D68" i="3" s="1"/>
  <c r="F70" i="3" s="1"/>
  <c r="B14" i="3"/>
  <c r="B15" i="3" l="1"/>
  <c r="C178" i="1" s="1"/>
  <c r="B18" i="2" s="1"/>
  <c r="AG23" i="8" s="1"/>
  <c r="B19" i="3"/>
  <c r="C179" i="1" s="1"/>
  <c r="AA18" i="2" s="1"/>
  <c r="AG25" i="8" s="1"/>
  <c r="B17" i="3"/>
  <c r="B16" i="3"/>
  <c r="B18" i="3"/>
  <c r="A1" i="11"/>
  <c r="A1" i="12"/>
  <c r="J14" i="3"/>
  <c r="AG19" i="6" l="1"/>
  <c r="AG17" i="10"/>
  <c r="Z88" i="10"/>
  <c r="Z76" i="2"/>
  <c r="D111" i="3"/>
  <c r="AG21" i="6"/>
  <c r="AG19" i="10"/>
  <c r="C309" i="3"/>
  <c r="K345" i="3" s="1"/>
  <c r="L345" i="3" s="1"/>
  <c r="BQ18" i="2"/>
  <c r="AG21" i="10" s="1"/>
  <c r="C346" i="3"/>
  <c r="D346" i="3" s="1"/>
  <c r="G343" i="3" l="1"/>
  <c r="K343" i="3"/>
  <c r="L343" i="3" s="1"/>
  <c r="C345" i="3"/>
  <c r="D345" i="3" s="1"/>
  <c r="G344" i="3"/>
  <c r="H344" i="3" s="1"/>
  <c r="K344" i="3"/>
  <c r="L344" i="3" s="1"/>
  <c r="C344" i="3"/>
  <c r="D344" i="3" s="1"/>
  <c r="C342" i="3"/>
  <c r="D342" i="3" s="1"/>
  <c r="K342" i="3"/>
  <c r="L342" i="3" s="1"/>
  <c r="G342" i="3"/>
  <c r="H342" i="3" s="1"/>
  <c r="G341" i="3"/>
  <c r="H341" i="3" s="1"/>
  <c r="K341" i="3"/>
  <c r="L341" i="3" s="1"/>
  <c r="C341" i="3"/>
  <c r="D341" i="3" s="1"/>
  <c r="AG27" i="8"/>
  <c r="C343" i="3"/>
  <c r="D343" i="3" s="1"/>
  <c r="AG23" i="6"/>
  <c r="H343" i="3"/>
  <c r="G348" i="3" l="1"/>
  <c r="E372" i="3" s="1"/>
  <c r="F456" i="3" s="1"/>
  <c r="F457" i="3" s="1"/>
  <c r="F464" i="3" l="1"/>
  <c r="I377" i="3"/>
  <c r="F488" i="3"/>
  <c r="E374" i="3"/>
  <c r="E385" i="3" s="1"/>
  <c r="E387" i="3" s="1"/>
  <c r="E378" i="3"/>
  <c r="I379" i="3" s="1"/>
  <c r="I378" i="3"/>
  <c r="F476" i="3"/>
  <c r="O372" i="3"/>
  <c r="S378" i="3" s="1"/>
  <c r="F443" i="3"/>
  <c r="F445" i="3" s="1"/>
  <c r="E521" i="3" s="1"/>
  <c r="C450" i="3" l="1"/>
  <c r="C449" i="3"/>
  <c r="G445" i="3"/>
  <c r="E423" i="3"/>
  <c r="P456" i="3"/>
  <c r="E383" i="3"/>
  <c r="E425" i="3" s="1"/>
  <c r="O393" i="3"/>
  <c r="O424" i="3" s="1"/>
  <c r="E512" i="3"/>
  <c r="O378" i="3"/>
  <c r="O423" i="3" s="1"/>
  <c r="O437" i="3" s="1"/>
  <c r="P443" i="3"/>
  <c r="P457" i="3" s="1"/>
  <c r="S377" i="3"/>
  <c r="E393" i="3"/>
  <c r="I395" i="3" s="1"/>
  <c r="F489" i="3" s="1"/>
  <c r="BB125" i="10"/>
  <c r="BB114" i="2"/>
  <c r="E530" i="3"/>
  <c r="AS70" i="8"/>
  <c r="E528" i="3"/>
  <c r="BA89" i="8" l="1"/>
  <c r="BA87" i="8"/>
  <c r="BA103" i="8"/>
  <c r="G107" i="8"/>
  <c r="G402" i="3"/>
  <c r="G403" i="3" s="1"/>
  <c r="E513" i="3"/>
  <c r="AG57" i="6" s="1"/>
  <c r="AB57" i="6" s="1"/>
  <c r="P445" i="3"/>
  <c r="P462" i="3" s="1"/>
  <c r="E426" i="3"/>
  <c r="I393" i="3"/>
  <c r="F490" i="3" s="1"/>
  <c r="F491" i="3" s="1"/>
  <c r="I387" i="3"/>
  <c r="F465" i="3" s="1"/>
  <c r="I385" i="3"/>
  <c r="I383" i="3"/>
  <c r="F466" i="3" s="1"/>
  <c r="F467" i="3" s="1"/>
  <c r="F477" i="3"/>
  <c r="S393" i="3"/>
  <c r="E511" i="3" s="1"/>
  <c r="B63" i="8" s="1"/>
  <c r="I394" i="3"/>
  <c r="O439" i="3"/>
  <c r="AS74" i="8"/>
  <c r="BB119" i="2"/>
  <c r="BB130" i="10"/>
  <c r="B100" i="8"/>
  <c r="G92" i="8"/>
  <c r="Y198" i="2"/>
  <c r="AQ87" i="8"/>
  <c r="BA100" i="8"/>
  <c r="B85" i="8"/>
  <c r="L130" i="10"/>
  <c r="AQ89" i="8"/>
  <c r="AQ103" i="8"/>
  <c r="AM198" i="2"/>
  <c r="C81" i="8"/>
  <c r="Y190" i="2"/>
  <c r="I200" i="2"/>
  <c r="B89" i="8"/>
  <c r="BC198" i="2"/>
  <c r="BC190" i="2"/>
  <c r="B162" i="2"/>
  <c r="I198" i="2"/>
  <c r="AM200" i="2"/>
  <c r="B74" i="8"/>
  <c r="AM192" i="2"/>
  <c r="AM196" i="2"/>
  <c r="B182" i="2"/>
  <c r="I192" i="2"/>
  <c r="AS100" i="8"/>
  <c r="I188" i="2"/>
  <c r="C77" i="8"/>
  <c r="B101" i="8"/>
  <c r="AQ100" i="8"/>
  <c r="H123" i="2"/>
  <c r="G94" i="8"/>
  <c r="I196" i="2"/>
  <c r="H134" i="10"/>
  <c r="B87" i="8"/>
  <c r="L119" i="2"/>
  <c r="AS87" i="8"/>
  <c r="AM188" i="2"/>
  <c r="B98" i="8"/>
  <c r="G184" i="2"/>
  <c r="I190" i="2"/>
  <c r="AM190" i="2"/>
  <c r="N137" i="2" l="1"/>
  <c r="G404" i="3"/>
  <c r="E410" i="3" s="1"/>
  <c r="E429" i="3" s="1"/>
  <c r="E518" i="3"/>
  <c r="B88" i="2"/>
  <c r="N147" i="10"/>
  <c r="B102" i="10"/>
  <c r="F494" i="3"/>
  <c r="F470" i="3"/>
  <c r="F482" i="3"/>
  <c r="AX63" i="6"/>
  <c r="M450" i="3"/>
  <c r="AB100" i="10"/>
  <c r="AB86" i="2"/>
  <c r="AG63" i="6"/>
  <c r="D573" i="3"/>
  <c r="D574" i="3" s="1"/>
  <c r="C607" i="3" s="1"/>
  <c r="G607" i="3" s="1"/>
  <c r="BB146" i="10"/>
  <c r="E523" i="3"/>
  <c r="BB135" i="2"/>
  <c r="M449" i="3"/>
  <c r="F478" i="3"/>
  <c r="F479" i="3" s="1"/>
  <c r="I413" i="3" l="1"/>
  <c r="E416" i="3"/>
  <c r="I416" i="3" s="1"/>
  <c r="F471" i="3" s="1"/>
  <c r="F472" i="3" s="1"/>
  <c r="F483" i="3"/>
  <c r="F484" i="3" s="1"/>
  <c r="E414" i="3"/>
  <c r="I414" i="3" s="1"/>
  <c r="I410" i="3"/>
  <c r="F459" i="3" s="1"/>
  <c r="F495" i="3"/>
  <c r="F496" i="3" s="1"/>
  <c r="E408" i="3"/>
  <c r="N151" i="2"/>
  <c r="AO102" i="10"/>
  <c r="N159" i="10"/>
  <c r="AO88" i="2"/>
  <c r="H138" i="10"/>
  <c r="AV63" i="8"/>
  <c r="D578" i="3"/>
  <c r="Y200" i="2" s="1"/>
  <c r="D641" i="3"/>
  <c r="C68" i="6"/>
  <c r="D651" i="3"/>
  <c r="B76" i="6" s="1"/>
  <c r="D644" i="3"/>
  <c r="D645" i="3"/>
  <c r="D647" i="3"/>
  <c r="H110" i="10"/>
  <c r="C70" i="6"/>
  <c r="H127" i="2"/>
  <c r="B68" i="3"/>
  <c r="H96" i="2"/>
  <c r="C601" i="3"/>
  <c r="D650" i="3"/>
  <c r="G454" i="3"/>
  <c r="E432" i="3" l="1"/>
  <c r="G486" i="3" s="1"/>
  <c r="E431" i="3"/>
  <c r="E428" i="3"/>
  <c r="I408" i="3"/>
  <c r="E515" i="3"/>
  <c r="P506" i="3" s="1"/>
  <c r="P508" i="3" s="1"/>
  <c r="B82" i="6"/>
  <c r="B75" i="6"/>
  <c r="G601" i="3"/>
  <c r="D576" i="3" s="1"/>
  <c r="Y192" i="2" s="1"/>
  <c r="G462" i="3" l="1"/>
  <c r="E439" i="3"/>
  <c r="G474" i="3"/>
  <c r="E437" i="3"/>
  <c r="B66" i="8"/>
  <c r="AS89" i="8"/>
  <c r="E516" i="3"/>
  <c r="BB160" i="10" s="1"/>
  <c r="BO86" i="2"/>
  <c r="BB149" i="2"/>
  <c r="BB158" i="10"/>
  <c r="D582" i="3"/>
  <c r="C613" i="3" s="1"/>
  <c r="G613" i="3" s="1"/>
  <c r="D585" i="3" s="1"/>
  <c r="BC200" i="2" s="1"/>
  <c r="D583" i="3"/>
  <c r="C619" i="3" s="1"/>
  <c r="G619" i="3" s="1"/>
  <c r="D587" i="3" s="1"/>
  <c r="BC192" i="2" s="1"/>
  <c r="BO100" i="10"/>
  <c r="E524" i="3"/>
  <c r="AV66" i="8" s="1"/>
  <c r="C92" i="8"/>
  <c r="G106" i="8"/>
  <c r="C553" i="3"/>
  <c r="C554" i="3"/>
  <c r="AS103" i="8"/>
  <c r="C94" i="8"/>
  <c r="P510" i="3"/>
  <c r="B103" i="8"/>
  <c r="G109" i="8"/>
  <c r="BB153" i="2" l="1"/>
  <c r="H115" i="10"/>
  <c r="H104" i="2"/>
  <c r="H107" i="2"/>
  <c r="H144" i="2"/>
  <c r="H153" i="10"/>
  <c r="H118" i="10"/>
  <c r="C556" i="3"/>
  <c r="C555" i="3"/>
  <c r="P512" i="3"/>
  <c r="P514" i="3"/>
  <c r="C106" i="8" s="1"/>
  <c r="BJ116" i="8" l="1"/>
  <c r="C109" i="8"/>
  <c r="C116" i="8"/>
  <c r="B112" i="8"/>
  <c r="AY114" i="8"/>
  <c r="E114" i="8"/>
  <c r="C114" i="8"/>
  <c r="E118" i="8"/>
  <c r="AY116" i="8"/>
  <c r="AZ114" i="8"/>
  <c r="AU118" i="8"/>
  <c r="C118" i="8"/>
  <c r="E116" i="8"/>
  <c r="BJ114" i="8"/>
  <c r="AZ1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G30" authorId="0" shapeId="0" xr:uid="{00000000-0006-0000-0100-000001000000}">
      <text>
        <r>
          <rPr>
            <b/>
            <sz val="7"/>
            <color indexed="81"/>
            <rFont val="Calibri"/>
            <family val="2"/>
            <scheme val="minor"/>
          </rPr>
          <t xml:space="preserve">56.1 - Burghardt, Arnd:
</t>
        </r>
        <r>
          <rPr>
            <sz val="7"/>
            <color indexed="81"/>
            <rFont val="Calibri"/>
            <family val="2"/>
            <scheme val="minor"/>
          </rPr>
          <t>Bei Erfassung zusätzlicher Personen zur Miete werden die Unterkunftskosten anteilig auf die Bedarfsgemeinschaft und die übrigen mietzahlenden Bewohner der Unterkunft verteilt. 
Beispiel: Drei mietzahlende Bewohner, zwei Personen hiervon bilden eine Bedarfsgemeinschaft (= 1 zusätzliche Person zur Miete). Die BG ist zu 2/3 an den Gesamtkosten beteiligt. Die Berechnung erfolgt also nach dem Kopfteilprinzip.</t>
        </r>
        <r>
          <rPr>
            <b/>
            <sz val="7"/>
            <color indexed="81"/>
            <rFont val="Calibri"/>
            <family val="2"/>
            <scheme val="minor"/>
          </rPr>
          <t xml:space="preserve">
</t>
        </r>
        <r>
          <rPr>
            <sz val="7"/>
            <color indexed="81"/>
            <rFont val="Calibri"/>
            <family val="2"/>
            <scheme val="minor"/>
          </rPr>
          <t xml:space="preserve">
Für die Berechnung wird im ersten Schritt ermittelt, in welcher Höhe die Bedarfsgemeinschaft an den tatsächlichen Kosten der Unterkunft und Heizung beteiligt ist. Geben Sie hierzu die Gesamtkosten für Unterkunft und Heizung wie gewohnt ein. Die auf die BG entfallenden Anteile werden Ihnen angezeigt (siehe rechte Spalte "auf BG entfallende Anteile"). Sie brauchen die Mietanteile der Bedarfsgemeinschaft also nicht selbst zu berechnen.
Die auf die BG entfallenden Anteile werden sodann im zweiten Schritt für die Angemessenheitsprüfung herangezogen. Hierbei gilt die Angemessenheitsgrenze für die Anzahl der Personen in der Bedarfsgemeinschaft.
</t>
        </r>
        <r>
          <rPr>
            <b/>
            <sz val="7"/>
            <color indexed="81"/>
            <rFont val="Calibri"/>
            <family val="2"/>
            <scheme val="minor"/>
          </rPr>
          <t>Vertragliche Vereinbarungen, die von der gleichmäßigen Verteilung der tatsächlichen Kosten abweichen, sind vorrangig gegenüber der kopfteiligen Verteilung zu berücksichtigen!</t>
        </r>
      </text>
    </comment>
    <comment ref="AG32" authorId="0" shapeId="0" xr:uid="{00000000-0006-0000-0100-000002000000}">
      <text>
        <r>
          <rPr>
            <b/>
            <sz val="7"/>
            <color indexed="81"/>
            <rFont val="Calibri"/>
            <family val="2"/>
            <scheme val="minor"/>
          </rPr>
          <t>56.1 - Burghardt, Arnd:</t>
        </r>
        <r>
          <rPr>
            <sz val="7"/>
            <color indexed="81"/>
            <rFont val="Calibri"/>
            <family val="2"/>
            <scheme val="minor"/>
          </rPr>
          <t xml:space="preserve">
Anzahl der Bewohner korrigieren, sofern von der automatisch ermittelten Anzahl abweichend. Die Angabe der Anzahl der Bewohner wird nur für die Prüfung einer Überbelegung der Unterkunft nach dem NWoSchG verarbeitet.</t>
        </r>
      </text>
    </comment>
    <comment ref="AG42" authorId="0" shapeId="0" xr:uid="{00000000-0006-0000-0100-000003000000}">
      <text>
        <r>
          <rPr>
            <b/>
            <sz val="7"/>
            <color indexed="81"/>
            <rFont val="Calibri"/>
            <family val="2"/>
            <scheme val="minor"/>
          </rPr>
          <t>56.1 - Burghardt, Arnd:</t>
        </r>
        <r>
          <rPr>
            <sz val="7"/>
            <color indexed="81"/>
            <rFont val="Calibri"/>
            <family val="2"/>
            <scheme val="minor"/>
          </rPr>
          <t xml:space="preserve">
Einige Versorger verlangen von ihren Kunden nur 11 statt 12 Abschläge jährlich (z. B. VHM). Die Berechnung der angemessenen Heizkosten kann hier auf diesen Zahlungsrhythmus angepasst werden.</t>
        </r>
      </text>
    </comment>
    <comment ref="AG48" authorId="0" shapeId="0" xr:uid="{00000000-0006-0000-0100-000004000000}">
      <text>
        <r>
          <rPr>
            <b/>
            <sz val="7"/>
            <color indexed="81"/>
            <rFont val="Calibri"/>
            <family val="2"/>
            <scheme val="minor"/>
          </rPr>
          <t xml:space="preserve">56.1 - Burghardt, Arnd:
</t>
        </r>
        <r>
          <rPr>
            <sz val="7"/>
            <color indexed="81"/>
            <rFont val="Calibri"/>
            <family val="2"/>
            <scheme val="minor"/>
          </rPr>
          <t>"ja, 5 %-Regel": Berechnung des Betriebsstroms in Höhe von 5 % des monatlichen Heizkostenabschlags (wird automatisch berücksichtigt)</t>
        </r>
        <r>
          <rPr>
            <b/>
            <sz val="7"/>
            <color indexed="81"/>
            <rFont val="Calibri"/>
            <family val="2"/>
            <scheme val="minor"/>
          </rPr>
          <t xml:space="preserve">
</t>
        </r>
        <r>
          <rPr>
            <sz val="7"/>
            <color indexed="81"/>
            <rFont val="Calibri"/>
            <family val="2"/>
            <scheme val="minor"/>
          </rPr>
          <t xml:space="preserve">
"ja, in tats. Höhe" nur auswählen, wenn Heizungsstrom durch eigene Messeinrichtung erfasst wird.</t>
        </r>
      </text>
    </comment>
    <comment ref="AG56" authorId="0" shapeId="0" xr:uid="{00000000-0006-0000-0100-000005000000}">
      <text>
        <r>
          <rPr>
            <b/>
            <sz val="7"/>
            <color indexed="81"/>
            <rFont val="Calibri"/>
            <family val="2"/>
            <scheme val="minor"/>
          </rPr>
          <t>56.1 - Burghardt, Arnd</t>
        </r>
        <r>
          <rPr>
            <sz val="7"/>
            <color indexed="81"/>
            <rFont val="Calibri"/>
            <family val="2"/>
            <scheme val="minor"/>
          </rPr>
          <t xml:space="preserve">
Wohnflächenmehrbedarf: Nur, wenn beantragt/geltend gemacht und begründet (Alleinerziehend, Schwerbehinderung, Umgangsrecht)</t>
        </r>
      </text>
    </comment>
    <comment ref="AG62" authorId="0" shapeId="0" xr:uid="{00000000-0006-0000-0100-000006000000}">
      <text>
        <r>
          <rPr>
            <b/>
            <sz val="7"/>
            <color indexed="81"/>
            <rFont val="Calibri"/>
            <family val="2"/>
            <scheme val="minor"/>
          </rPr>
          <t>56.1 - Burghardt, Arnd:</t>
        </r>
        <r>
          <rPr>
            <sz val="7"/>
            <color indexed="81"/>
            <rFont val="Calibri"/>
            <family val="2"/>
            <scheme val="minor"/>
          </rPr>
          <t xml:space="preserve">
Sofern ohne Garage/Stellplatz anmietbar</t>
        </r>
      </text>
    </comment>
    <comment ref="S64" authorId="0" shapeId="0" xr:uid="{00000000-0006-0000-0100-000007000000}">
      <text>
        <r>
          <rPr>
            <b/>
            <sz val="7"/>
            <color indexed="81"/>
            <rFont val="Calibri"/>
            <family val="2"/>
          </rPr>
          <t>56.1 - Burghardt, Arnd:</t>
        </r>
        <r>
          <rPr>
            <sz val="7"/>
            <color indexed="81"/>
            <rFont val="Calibri"/>
            <family val="2"/>
          </rPr>
          <t xml:space="preserve">
In diesem Feld ist der Abzug zu benennen.</t>
        </r>
      </text>
    </comment>
    <comment ref="S66" authorId="0" shapeId="0" xr:uid="{00000000-0006-0000-0100-000008000000}">
      <text>
        <r>
          <rPr>
            <b/>
            <sz val="7"/>
            <color indexed="81"/>
            <rFont val="Calibri"/>
            <family val="2"/>
            <scheme val="minor"/>
          </rPr>
          <t>56.1 - Burghardt, Arnd</t>
        </r>
        <r>
          <rPr>
            <sz val="7"/>
            <color indexed="81"/>
            <rFont val="Calibri"/>
            <family val="2"/>
            <scheme val="minor"/>
          </rPr>
          <t xml:space="preserve">
In diesem Feld ist der Abzug zu benennen.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4" authorId="0" shapeId="0" xr:uid="{DA425A6E-0EBD-4CBD-8C2D-D396103DB906}">
      <text>
        <r>
          <rPr>
            <b/>
            <sz val="9"/>
            <color indexed="81"/>
            <rFont val="Segoe UI"/>
            <family val="2"/>
          </rPr>
          <t>Autor:</t>
        </r>
        <r>
          <rPr>
            <sz val="9"/>
            <color indexed="81"/>
            <rFont val="Segoe UI"/>
            <family val="2"/>
          </rPr>
          <t xml:space="preserve">
Mietstufenzuordnung Ort 171 und 172 wurden nachträglich hinzugefügt (Umgehungslösung in den Zellen B 14 bis B 19 beachten!, vgl. auch B 20 und B 21)</t>
        </r>
      </text>
    </comment>
    <comment ref="A43" authorId="0" shapeId="0" xr:uid="{8805F8C0-0EDC-42D3-8223-3564A5B8E92D}">
      <text>
        <r>
          <rPr>
            <b/>
            <sz val="9"/>
            <color indexed="81"/>
            <rFont val="Segoe UI"/>
            <family val="2"/>
          </rPr>
          <t>Autor:</t>
        </r>
        <r>
          <rPr>
            <sz val="9"/>
            <color indexed="81"/>
            <rFont val="Segoe UI"/>
            <family val="2"/>
          </rPr>
          <t xml:space="preserve">
Wird nicht mehr gegengeprüft (veraltet)</t>
        </r>
      </text>
    </comment>
    <comment ref="F272" authorId="0" shapeId="0" xr:uid="{00000000-0006-0000-0500-000001000000}">
      <text>
        <r>
          <rPr>
            <b/>
            <sz val="9"/>
            <color indexed="81"/>
            <rFont val="Segoe UI"/>
            <family val="2"/>
          </rPr>
          <t>Autor:</t>
        </r>
        <r>
          <rPr>
            <sz val="9"/>
            <color indexed="81"/>
            <rFont val="Segoe UI"/>
            <family val="2"/>
          </rPr>
          <t xml:space="preserve">
Berechnungen mit dieser Berechnungshilfe sind erst ab dem 01.11.2019 möglich (vgl. 3.4. - Heizkostenspiegel). Daher hier GZR ab 01.11.2019 (statt 01.09.2019).</t>
        </r>
      </text>
    </comment>
    <comment ref="B274" authorId="0" shapeId="0" xr:uid="{00000000-0006-0000-0500-000002000000}">
      <text>
        <r>
          <rPr>
            <b/>
            <sz val="9"/>
            <color indexed="81"/>
            <rFont val="Segoe UI"/>
            <family val="2"/>
          </rPr>
          <t>Autor:</t>
        </r>
        <r>
          <rPr>
            <sz val="9"/>
            <color indexed="81"/>
            <rFont val="Segoe UI"/>
            <family val="2"/>
          </rPr>
          <t xml:space="preserve">
Codierung wurde beibehalten, da sich die angemessenen KdU-Beträge gegenüber WoGG 2022 nicht geändert haben. Lediglich Bovenden und Friedland wurden einer anderen Mietstufe zugeordnet. Die Mietstufe wird entsprechend Spalte F und G zugeordnet, sodass Zeile 274 definiert werden musste, obwohl sich an den absoluten Werten (Angemessenheitsgrenzen) nichts geändert hat.</t>
        </r>
      </text>
    </comment>
    <comment ref="A533" authorId="0" shapeId="0" xr:uid="{EA9A1165-977D-43F8-931F-F065638F1172}">
      <text>
        <r>
          <rPr>
            <b/>
            <sz val="9"/>
            <color indexed="81"/>
            <rFont val="Segoe UI"/>
            <family val="2"/>
          </rPr>
          <t>Autor:</t>
        </r>
        <r>
          <rPr>
            <sz val="9"/>
            <color indexed="81"/>
            <rFont val="Segoe UI"/>
            <family val="2"/>
          </rPr>
          <t xml:space="preserve">
Nicht mehr in Gebrauch</t>
        </r>
      </text>
    </comment>
  </commentList>
</comments>
</file>

<file path=xl/sharedStrings.xml><?xml version="1.0" encoding="utf-8"?>
<sst xmlns="http://schemas.openxmlformats.org/spreadsheetml/2006/main" count="2762" uniqueCount="1413">
  <si>
    <t>Adelebsen</t>
  </si>
  <si>
    <t>Adelebsen (Flecken)    - Ortsgebiet</t>
  </si>
  <si>
    <t>Atzenhausen</t>
  </si>
  <si>
    <t>Rosdorf  (Gem.)  - OT Atzenhausen</t>
  </si>
  <si>
    <t>Ballenhausen</t>
  </si>
  <si>
    <t>Friedland  (Gem.)   - OT Ballenhausen</t>
  </si>
  <si>
    <t>Barlissen</t>
  </si>
  <si>
    <t xml:space="preserve">Dransfeld  (Samtg.)   Gem. Jühnde - OT Barlissen </t>
  </si>
  <si>
    <t>Barterode</t>
  </si>
  <si>
    <t>Adelebsen (Flecken)    - OT Barterode</t>
  </si>
  <si>
    <t>Beienrode</t>
  </si>
  <si>
    <t>Gleichen ( Gem.)   - OT Beienrode</t>
  </si>
  <si>
    <t>Benniehausen</t>
  </si>
  <si>
    <t>Gleichen ( Gem.)   - OT Benniehausen</t>
  </si>
  <si>
    <t>Benterode</t>
  </si>
  <si>
    <t>Staufenberg  (Gem.)  - OT Benterode</t>
  </si>
  <si>
    <t>Bernshausen</t>
  </si>
  <si>
    <t>Radolfshausen ( Samtg.)  Gem. Seeburg - OT Bernshausen</t>
  </si>
  <si>
    <t>Billingshausen</t>
  </si>
  <si>
    <t>Bovenden  ( Flecken)   - OT Billingshausen</t>
  </si>
  <si>
    <t>Bilshausen</t>
  </si>
  <si>
    <t>Gieboldehausen ( Samtg.) - Gem. Bilshausen - Ortsgebiet</t>
  </si>
  <si>
    <t>Bischhausen</t>
  </si>
  <si>
    <t>Gleichen ( Gem.)   - OT Bischhausen</t>
  </si>
  <si>
    <t>Bodensee</t>
  </si>
  <si>
    <t>Gieboldehausen ( Samtg.) - Gem. Bodensee - Ortsgebiet</t>
  </si>
  <si>
    <t>Bonaforth</t>
  </si>
  <si>
    <t>Hann.Münden (Stadt) -  OT Bonaforth</t>
  </si>
  <si>
    <t>Bovenden</t>
  </si>
  <si>
    <t>Bovenden  ( Flecken)   - Ortsgebiet</t>
  </si>
  <si>
    <t>Breitenberg</t>
  </si>
  <si>
    <t>Duderstadt (Stadt)  - OT Breitenberg</t>
  </si>
  <si>
    <t>Bremke</t>
  </si>
  <si>
    <t>Gleichen ( Gem.)   - OT Bremke</t>
  </si>
  <si>
    <t>Brochthausen</t>
  </si>
  <si>
    <t>Duderstadt (Stadt)  - OT Brochthausen</t>
  </si>
  <si>
    <t>Bühren</t>
  </si>
  <si>
    <t>Dransfeld  (Samtg.)   Gem. Bühren - Ortsgebiet</t>
  </si>
  <si>
    <t>Dahlenrode</t>
  </si>
  <si>
    <t>Rosdorf  (Gem.)  - OT Dahlenrode</t>
  </si>
  <si>
    <t>Dahlheim</t>
  </si>
  <si>
    <t>Staufenberg  (Gem.)  - OT Dahlheim</t>
  </si>
  <si>
    <t>Dankershausen</t>
  </si>
  <si>
    <t>Dransfeld  (Samtg.)   Gem. Scheeden - OT Dankershausen</t>
  </si>
  <si>
    <t>Deiderode</t>
  </si>
  <si>
    <t>Friedland  (Gem.)   - OT Deiderode</t>
  </si>
  <si>
    <t>Desingerode</t>
  </si>
  <si>
    <t>Duderstadt (Stadt)  - OT Desingerode</t>
  </si>
  <si>
    <t>Diemarden</t>
  </si>
  <si>
    <t>Gleichen ( Gem.)   - OT Diemarden</t>
  </si>
  <si>
    <t>Dramfeld</t>
  </si>
  <si>
    <t>Rosdorf  (Gem.)  - OT Dramfeld</t>
  </si>
  <si>
    <t>Dransfeld</t>
  </si>
  <si>
    <t xml:space="preserve">Dransfeld  (Samtg.)   Stadt  Stadtgebiet </t>
  </si>
  <si>
    <t>Duderstadt</t>
  </si>
  <si>
    <t>Duderstadt (Stadt)  - Orts/ Stadtgebiet</t>
  </si>
  <si>
    <t>Ebergötzen</t>
  </si>
  <si>
    <t>Radolfshausen  ( Samtg.)  Gem. Ebergötzen - Ortsgebiet</t>
  </si>
  <si>
    <t>Eberhausen</t>
  </si>
  <si>
    <t>Adelebsen (Flecken)   -  OT Eberhausen</t>
  </si>
  <si>
    <t>Eddigehausen</t>
  </si>
  <si>
    <t>Bovenden  ( Flecken)   - OT Eddigehausen</t>
  </si>
  <si>
    <t>Elkershausen</t>
  </si>
  <si>
    <t>Friedland  (Gem.)  -  OT Elkershausen</t>
  </si>
  <si>
    <t>Ellershausen</t>
  </si>
  <si>
    <t>Dransfeld  (Samtg.)   Gem. Niemetal - OT Ellershausen</t>
  </si>
  <si>
    <t>Emmenhausen</t>
  </si>
  <si>
    <t>Bovenden  ( Flecken)    -OT Emmenhausen</t>
  </si>
  <si>
    <t>Erbsen</t>
  </si>
  <si>
    <t>Adelebsen (Flecken)    - OT Erbsen</t>
  </si>
  <si>
    <t>Eschenrode</t>
  </si>
  <si>
    <t>Staufenberg  (Gem.)  - OT Eschenrode</t>
  </si>
  <si>
    <t>Esplingerode</t>
  </si>
  <si>
    <t>Duderstadt (Stadt)  - OT Esplingerode</t>
  </si>
  <si>
    <t>Etzenborn</t>
  </si>
  <si>
    <t>Gleichen ( Gem.)   - OT Etzenborn</t>
  </si>
  <si>
    <t>Falkenhagen</t>
  </si>
  <si>
    <t>Radolfshausen ( Samtg.)  Gem. Landolfshausen - OT Falkenhagen</t>
  </si>
  <si>
    <t>Friedland</t>
  </si>
  <si>
    <t>Friedland  (Gem.)   -  Ortsgebiet</t>
  </si>
  <si>
    <t>Fuhrbach</t>
  </si>
  <si>
    <t>Duderstadt (Stadt)  - OT Fuhrbach</t>
  </si>
  <si>
    <t>Gelliehausen</t>
  </si>
  <si>
    <t>Gleichen ( Gem.)   - OT Gelliehausen</t>
  </si>
  <si>
    <t>Gerblingerode</t>
  </si>
  <si>
    <t>Duderstadt (Stadt)  - OT Gerblingerode</t>
  </si>
  <si>
    <t>Germershausen</t>
  </si>
  <si>
    <t>Gieboldehausen ( Samtg.) - Gem. Rollshausen - OT Germershausen</t>
  </si>
  <si>
    <t>Gieboldehausen</t>
  </si>
  <si>
    <t>Gieboldehausen ( Samtg.) - Flecken/Ortsgebiet</t>
  </si>
  <si>
    <t>Gimte</t>
  </si>
  <si>
    <t>Hann.Münden (Stadt) -  OT Gimte</t>
  </si>
  <si>
    <t>Groß Lengden</t>
  </si>
  <si>
    <t>Gleichen ( Gem.)   - OT Groß Lengden</t>
  </si>
  <si>
    <t>Groß Schneen</t>
  </si>
  <si>
    <t>Friedland  (Gem.)   - OT Groß Schneen</t>
  </si>
  <si>
    <t>Güntersen</t>
  </si>
  <si>
    <t>Adelebsen (Flecken)    - OT Güntersen</t>
  </si>
  <si>
    <t>Hann.Münden</t>
  </si>
  <si>
    <t>Hann.Münden (Stadt) -  Orts/Stadtgebiet</t>
  </si>
  <si>
    <t>Harste</t>
  </si>
  <si>
    <t>Bovenden  ( Flecken)   - OT Harste</t>
  </si>
  <si>
    <t>Hedemünden</t>
  </si>
  <si>
    <t>Hann.Münden (Stadt)  - OT Hedemünden</t>
  </si>
  <si>
    <t>Hemeln</t>
  </si>
  <si>
    <t>Hann.Münden (Stadt)  - OT Hemeln</t>
  </si>
  <si>
    <t>Hilkerode</t>
  </si>
  <si>
    <t>Duderstadt (Stadt)  - OT Hilkerode</t>
  </si>
  <si>
    <t>Holzerode</t>
  </si>
  <si>
    <t>Radolfshausen ( Samtg.)   Gem. Ebergötzen - OT Holzerode</t>
  </si>
  <si>
    <t>Imbsen</t>
  </si>
  <si>
    <t>Dransfeld  (Samtg.)   Gem. Niemetal - OT Imbsen</t>
  </si>
  <si>
    <t>Immigerode</t>
  </si>
  <si>
    <t>Duderstadt (Stadt)  - OT Immigerode</t>
  </si>
  <si>
    <t>Ischenrode</t>
  </si>
  <si>
    <t>Gleichen ( Gem.)   - OT Ischenrode</t>
  </si>
  <si>
    <t>Jühnde</t>
  </si>
  <si>
    <t>Dransfeld  (Samtg.)   Gem. Jühnde - Ortsgebiet</t>
  </si>
  <si>
    <t>Kerstlingerode</t>
  </si>
  <si>
    <t>Gleichen ( Gem.)   - OT Kerstlingerode</t>
  </si>
  <si>
    <t>Klein Lengden</t>
  </si>
  <si>
    <t>Gleichen ( Gem.)   - OT Klein Lengden</t>
  </si>
  <si>
    <t>Klein Schneen</t>
  </si>
  <si>
    <t>Friedland  (Gem.)  -  OT Klein Schneen</t>
  </si>
  <si>
    <t>Klein Wiershausen</t>
  </si>
  <si>
    <t>Rosdorf  (Gem.)  - OT Klein Wiershausen</t>
  </si>
  <si>
    <t>Krebeck</t>
  </si>
  <si>
    <t>Gieboldehausen ( Samtg.) - Gem. Krebeck - Ortsgebiet</t>
  </si>
  <si>
    <t>Landolfshausen</t>
  </si>
  <si>
    <t>Radolfshausen ( Samtg.)  Gem. Landolfshausen - Ortsgebiet</t>
  </si>
  <si>
    <t>Landwehrhagen</t>
  </si>
  <si>
    <t>Staufenberg  (Gem.)  - OT Landwehrhagen</t>
  </si>
  <si>
    <t>Langenhagen</t>
  </si>
  <si>
    <t>Duderstadt (Stadt)  - OT Langenhagen</t>
  </si>
  <si>
    <t>Laubach</t>
  </si>
  <si>
    <t>Hann.Münden (Stadt)  - OT Laubach</t>
  </si>
  <si>
    <t>Lemshausen</t>
  </si>
  <si>
    <t>Rosdorf  (Gem.)  - OT Lemshausen</t>
  </si>
  <si>
    <t>Lenglern</t>
  </si>
  <si>
    <t>Bovenden  ( Flecken)   - OT Lenglern</t>
  </si>
  <si>
    <t>Lichtenhagen</t>
  </si>
  <si>
    <t>Friedland  (Gem.)   - OT Lichtenhagen</t>
  </si>
  <si>
    <t>Lippoldshausen</t>
  </si>
  <si>
    <t>Hann.Münden (Stadt)  - OT Lippoldshausen</t>
  </si>
  <si>
    <t>Lödingsen</t>
  </si>
  <si>
    <t>Adelebsen (Flecken)    - OT Lödingsen</t>
  </si>
  <si>
    <t>Löwenhagen</t>
  </si>
  <si>
    <t>Dransfeld  (Samtg.)   Gem. Niemetal - OT Löwenhagen</t>
  </si>
  <si>
    <t>Ludolfshausen</t>
  </si>
  <si>
    <t>Friedland  (Gem.)   - OT Ludolfshausen</t>
  </si>
  <si>
    <t>Lütgenhausen</t>
  </si>
  <si>
    <t>Gieboldehausen ( Samtg.) - Gem. Rhumspringe - OT Lütgenhausen</t>
  </si>
  <si>
    <t>Lutterberg</t>
  </si>
  <si>
    <t>Hann.Münden (Stadt)  - OT Lutterberg</t>
  </si>
  <si>
    <t>Mackenrode</t>
  </si>
  <si>
    <t xml:space="preserve">Radolfshausen ( Samtg.)  Gem. Landolfshausen - OT Mackenrode </t>
  </si>
  <si>
    <t>Meensen</t>
  </si>
  <si>
    <t>Dransfeld  (Samtg.)   Gem. Scheeden - OT Meensen</t>
  </si>
  <si>
    <t>Mengershausen</t>
  </si>
  <si>
    <t>Rosdorf  (Gem.)  - OT Mengershausen</t>
  </si>
  <si>
    <t>Mielenhausen</t>
  </si>
  <si>
    <t>Hann.Münden (Stadt)  - OT Mielenhausen</t>
  </si>
  <si>
    <t>Mingerode</t>
  </si>
  <si>
    <t>Duderstadt (Stadt)  - OT Mingerode</t>
  </si>
  <si>
    <t>Mollenfelde</t>
  </si>
  <si>
    <t>Friedland  (Gem.)   - OT Mollenfelde</t>
  </si>
  <si>
    <t>Nesselröden</t>
  </si>
  <si>
    <t>Duderstadt (Stadt)  - OT Nesselröden</t>
  </si>
  <si>
    <t>Niedergandern</t>
  </si>
  <si>
    <t>Friedland  (Gem.)   - OT Niedergandern</t>
  </si>
  <si>
    <t>Niedernjesa</t>
  </si>
  <si>
    <t>Friedland  (Gem.)   - OT Niedernjesa</t>
  </si>
  <si>
    <t>Niemetal</t>
  </si>
  <si>
    <t>Staufenberg  (Gem.)  - OT Niemetal</t>
  </si>
  <si>
    <t>Nienhagen</t>
  </si>
  <si>
    <t>Staufenberg  (Gem.)  - OT Nienhagen</t>
  </si>
  <si>
    <t>Obernfeld</t>
  </si>
  <si>
    <t>Gieboldehausen ( Samtg.) - Gem. Obernfeld - Ortsgebiet</t>
  </si>
  <si>
    <t>Obernjesa</t>
  </si>
  <si>
    <t>Rosdorf  (Gem.)  - OT Obernjesa</t>
  </si>
  <si>
    <t>Oberode</t>
  </si>
  <si>
    <t>Hann.Münden (Stadt)  - OT Oberode</t>
  </si>
  <si>
    <t>Ossenfeld</t>
  </si>
  <si>
    <t>Dransfeld  (Samtg.)   Stadt Dransfeld - OT Ossenfeld</t>
  </si>
  <si>
    <t>Potzwenden</t>
  </si>
  <si>
    <t xml:space="preserve">Radolfshausen ( Samtg.)  Gem. Landolfshausen- OT Potzwenden </t>
  </si>
  <si>
    <t>Reckershausen</t>
  </si>
  <si>
    <t>Friedland  (Gem.)   - OT Reckershausen</t>
  </si>
  <si>
    <t>Reifenhausen</t>
  </si>
  <si>
    <t>Friedland  (Gem.)  -  OT Reifenhausen</t>
  </si>
  <si>
    <t>Reinhausen</t>
  </si>
  <si>
    <t>Gleichen ( Gem.)   - OT Reinhausen</t>
  </si>
  <si>
    <t>Renshausen</t>
  </si>
  <si>
    <t>Gieboldehausen ( Samtg.) - Gem. Krebeck - OT Renshausen</t>
  </si>
  <si>
    <t>Reyershausen</t>
  </si>
  <si>
    <t>Bovenden  ( Flecken)   - OT Reyershausen</t>
  </si>
  <si>
    <t>Rhumspringe</t>
  </si>
  <si>
    <t>Gieboldehausen ( Samtg.) - Gem. Rhumspringe -Ortsgebiet</t>
  </si>
  <si>
    <t>Rittmarshausen</t>
  </si>
  <si>
    <t>Gleichen ( Gem.)   - OT Rittmarshausen</t>
  </si>
  <si>
    <t>Rollshausen</t>
  </si>
  <si>
    <t>Gieboldehausen ( Samtg.) - Gem. Rollshausen - Ortsgebiet</t>
  </si>
  <si>
    <t>Rosdorf</t>
  </si>
  <si>
    <t>Rosdorf  (Gem.)  - Ortsgebiet</t>
  </si>
  <si>
    <t>Rüdershausen</t>
  </si>
  <si>
    <t>Gieboldehausen ( Samtg.) - Gem. Rüdershausen - Ortsgebiet</t>
  </si>
  <si>
    <t>Sattenhausen</t>
  </si>
  <si>
    <t>Gleichen ( Gem.)   - OT Sattenhausen</t>
  </si>
  <si>
    <t>Seeburg</t>
  </si>
  <si>
    <t>Radolfshausen ( Samtg.)  Gem. Seeburg - Ortsgebiet</t>
  </si>
  <si>
    <t>Settmarshausen</t>
  </si>
  <si>
    <t xml:space="preserve">Rosdorf  (Gem.)  - OT Settmarshausen </t>
  </si>
  <si>
    <t>Seulingen</t>
  </si>
  <si>
    <t>Radolfshausen ( Samtg.)  Gem. Seulingen - Ortsgebiet</t>
  </si>
  <si>
    <t>Sichelstein</t>
  </si>
  <si>
    <t>Staufenberg  (Gem.)  - OT Sichelstein</t>
  </si>
  <si>
    <t>Sieboldshausen</t>
  </si>
  <si>
    <t>Rosdorf  (Gem.)  - OT Sieboldshausen</t>
  </si>
  <si>
    <t>Spanbeck</t>
  </si>
  <si>
    <t>Bovenden  ( Flecken)   - OT Spanbeck</t>
  </si>
  <si>
    <t>Speele</t>
  </si>
  <si>
    <t>Staufenberg  (Gem.)  - OT Speele</t>
  </si>
  <si>
    <t>Spiekershausen</t>
  </si>
  <si>
    <t>Staufenberg  (Gem.)  - OT Spiekershausen</t>
  </si>
  <si>
    <t>Scheeden</t>
  </si>
  <si>
    <t>Dransfeld  (Samtg.)   Gem. Scheeden - Ortsgebiet</t>
  </si>
  <si>
    <t>Stockhausen</t>
  </si>
  <si>
    <t>Friedland  (Gem.)   - OT Stockhausen</t>
  </si>
  <si>
    <t>Tiftlingerode</t>
  </si>
  <si>
    <t>Duderstadt (Stadt)  - OT Tiftlingerode</t>
  </si>
  <si>
    <t>Uschlag</t>
  </si>
  <si>
    <t>Hann.Münden (Stadt) - OT Uschlag</t>
  </si>
  <si>
    <t>Varlosen</t>
  </si>
  <si>
    <t>Dransfeld  (Samtg.)   Gem. Niemetal - OT Varlosen</t>
  </si>
  <si>
    <t>Varmissen</t>
  </si>
  <si>
    <t>Dransfeld  (Samtg.)   Stadt Dransfeld - OT Varmissen</t>
  </si>
  <si>
    <t>Volkerode</t>
  </si>
  <si>
    <t>Rosdorf  (Gem.)  - OT Volkerode</t>
  </si>
  <si>
    <t>Volkmarshausen</t>
  </si>
  <si>
    <t>Hann.Münden (Stadt) - OT Volkmarshausen</t>
  </si>
  <si>
    <t>Waake</t>
  </si>
  <si>
    <t>Radolfshausen ( Samtg.)  Gem. Waake - Ortsgebiet</t>
  </si>
  <si>
    <t>Weißenborn</t>
  </si>
  <si>
    <t>Gleichen ( Gem.)   - OT Weißenborn</t>
  </si>
  <si>
    <t>Werxshausen</t>
  </si>
  <si>
    <t>Duderstadt (Stadt)  - OT Werxshausen</t>
  </si>
  <si>
    <t>Westerode</t>
  </si>
  <si>
    <t>Duderstadt (Stadt)  - OT Westerode</t>
  </si>
  <si>
    <t>Wibbeke</t>
  </si>
  <si>
    <t>Adelebsen (Flecken)    - OT Wibbeke</t>
  </si>
  <si>
    <t>Wiershausen</t>
  </si>
  <si>
    <t>Hann.Münden (Stadt)  - OT Wiershausen</t>
  </si>
  <si>
    <t>Wollbrandshausen</t>
  </si>
  <si>
    <t>Gieboldehausen ( Samtg.) - Gem. Wollbrandshausen.- Ortsgebiet</t>
  </si>
  <si>
    <t>Wollershausen</t>
  </si>
  <si>
    <t>Gieboldehausen ( Samtg.) - Gem. Wollershausen - Ortsgebiet</t>
  </si>
  <si>
    <t>Göttingen</t>
  </si>
  <si>
    <t>Göttingen ( Stadt ) -  Stadtgebiet mit allen Vororten</t>
  </si>
  <si>
    <t>Osterode</t>
  </si>
  <si>
    <t>Osterode ( Stadt ) - Stadtgebiet</t>
  </si>
  <si>
    <t>Dorste</t>
  </si>
  <si>
    <t>Osterode ( Stadt )  - OT Dorste</t>
  </si>
  <si>
    <t>Düna</t>
  </si>
  <si>
    <t>Osterode ( Stadt )  - OT Düna</t>
  </si>
  <si>
    <t>Förste</t>
  </si>
  <si>
    <t>Osterode ( Stadt )  - OT Förste</t>
  </si>
  <si>
    <t>Freiheit</t>
  </si>
  <si>
    <t>Osterode ( Stadt )  - OT Freiheit</t>
  </si>
  <si>
    <t>Lerbach</t>
  </si>
  <si>
    <t>Osterode ( Stadt )  - OT Lerbach</t>
  </si>
  <si>
    <t>Lasfelde/Petershütte /Katzenstein</t>
  </si>
  <si>
    <t>Osterode ( Stadt )  - OT Lasfeelde/Petershütte/Katzenstein</t>
  </si>
  <si>
    <t>Marke</t>
  </si>
  <si>
    <t>Osterode ( Stadt )  - OT Marke</t>
  </si>
  <si>
    <t>Nienstedt</t>
  </si>
  <si>
    <t>Osterode ( Stadt )  - OT Nienstedt</t>
  </si>
  <si>
    <t>Riefensbeek-Kamschlacken</t>
  </si>
  <si>
    <t>Osterode ( Stadt )  - OT Riefensbeek-Kamschlacken</t>
  </si>
  <si>
    <t>Schwiegerhausen</t>
  </si>
  <si>
    <t>Osterode ( Stadt )  - OT Schwiegerhausen</t>
  </si>
  <si>
    <t>Ührde</t>
  </si>
  <si>
    <t>Osterode ( Stadt )  - OT Ührde</t>
  </si>
  <si>
    <t>Herzberg am Harz</t>
  </si>
  <si>
    <t>Herzberg a.H. ( Stadt) - Stadtgebiet</t>
  </si>
  <si>
    <t>Lonau</t>
  </si>
  <si>
    <t>Herzberg a.H. ( Stadt )  - OT Lonau</t>
  </si>
  <si>
    <t>Pöhlde</t>
  </si>
  <si>
    <t>Herzberg a.H.( Stadt )  - OT Pöhlde</t>
  </si>
  <si>
    <t>Scharzfeld</t>
  </si>
  <si>
    <t>Herzberg a.H. ( Stadt ) - Scharzfeld</t>
  </si>
  <si>
    <t>Sieber</t>
  </si>
  <si>
    <t>Herzberg a.H. ( Stadt)  - OT Sieber</t>
  </si>
  <si>
    <t>Bad Lauterberg a.H.</t>
  </si>
  <si>
    <t>Bad Lauterberg a.H. ( Stadt ) - Stadtgebiet</t>
  </si>
  <si>
    <t>Barbis</t>
  </si>
  <si>
    <t>Bad Lauterberg a.H. ( Stadt ) - OT Barbis</t>
  </si>
  <si>
    <t>Bartolfelde</t>
  </si>
  <si>
    <t>Bad Lauterberg a.H. (Stadt)  - OT Bartolfelde</t>
  </si>
  <si>
    <t>Osterhagen</t>
  </si>
  <si>
    <t>Bad Lauterberg a.H.( Stadt)  - OT Osterhagen</t>
  </si>
  <si>
    <t>Bad Sachsa</t>
  </si>
  <si>
    <t>Bad Sachsa  ( Stadt) -   Stadtgebiet</t>
  </si>
  <si>
    <t>Neuhof</t>
  </si>
  <si>
    <t>Bad Sachsa ( Stadt)  - OT Neuhof</t>
  </si>
  <si>
    <t>Steina</t>
  </si>
  <si>
    <t>Tettenborn</t>
  </si>
  <si>
    <t>Bad Sachsa ( Stadt)  - OT Tettenborn</t>
  </si>
  <si>
    <t>Bad Grund a. H.</t>
  </si>
  <si>
    <t>Bad Grund a.H. (Gemeinde)  - Gemeindegebiet</t>
  </si>
  <si>
    <t>Badenhausen</t>
  </si>
  <si>
    <t>Bad Grund a.H. ( Gem.)  - OT Badenhausen</t>
  </si>
  <si>
    <t>Eisdorf</t>
  </si>
  <si>
    <t>Bad Grund a.H.  (Gem. ) - OT Eisdorf</t>
  </si>
  <si>
    <t>Gittelde</t>
  </si>
  <si>
    <t>Bad Grund a.H. (Gem.)   - OT Gittelde</t>
  </si>
  <si>
    <t>Willensen</t>
  </si>
  <si>
    <t>Bad Grund a.H. ( Gem. ) - OT Willensen</t>
  </si>
  <si>
    <t>Windhausen</t>
  </si>
  <si>
    <t>Bad Grund a.H.  ( Gem.) - OT Windhausen</t>
  </si>
  <si>
    <t>Hattorf a.H.</t>
  </si>
  <si>
    <t>Hattorf a.H.( Samtgemeinde) - Stadtgebiet</t>
  </si>
  <si>
    <t>Wulften</t>
  </si>
  <si>
    <t>Hattorf a.H. ( Samtg.) - OT Wulften</t>
  </si>
  <si>
    <t>Hörden</t>
  </si>
  <si>
    <t>Hattorf a.H. ( Samtg.) - OT Hörden</t>
  </si>
  <si>
    <t>Elbingerode</t>
  </si>
  <si>
    <t>Hattorf a.H. ( Samtg. ) - OT Elbingerode</t>
  </si>
  <si>
    <t>Walkenried</t>
  </si>
  <si>
    <t>Walkenried (Samtgemeinde) - Stadtgebiet</t>
  </si>
  <si>
    <t>Wieda</t>
  </si>
  <si>
    <t>Walkenried (Samtgem.)  - OT Wieda</t>
  </si>
  <si>
    <t>Zorge</t>
  </si>
  <si>
    <t>Walkenried (Samtgem.)  - OT Zorge</t>
  </si>
  <si>
    <t>Mietstufe:</t>
  </si>
  <si>
    <t>Örtliche Zuständigkeit:</t>
  </si>
  <si>
    <t>Zuständigkeiten:</t>
  </si>
  <si>
    <t>Dransfeld  (Samtg.)   Gem. Scheeden - OT Bördel</t>
  </si>
  <si>
    <t>Radolfshausen ( Samtg.)  Gem.Waake - OT Bösinghausen</t>
  </si>
  <si>
    <t>Gleichen ( Gem.)   - OT Wöllmarshausen</t>
  </si>
  <si>
    <t>Boerdel</t>
  </si>
  <si>
    <t>Boesinghausen</t>
  </si>
  <si>
    <t>Woellmarshausen</t>
  </si>
  <si>
    <t>Ausgewählter Ort:</t>
  </si>
  <si>
    <t>Ortsname</t>
  </si>
  <si>
    <t>Mietstufe</t>
  </si>
  <si>
    <t>Zuständigkeit</t>
  </si>
  <si>
    <t>Name</t>
  </si>
  <si>
    <t>Ortsnummer</t>
  </si>
  <si>
    <t>Z-Adresse</t>
  </si>
  <si>
    <t>Carl-Zeiss-Straße 5, 37081 Göttingen</t>
  </si>
  <si>
    <t>Hiroshimaplatz 1-4, 37083 Göttingen</t>
  </si>
  <si>
    <t>Industriestr. 16, 37115 Duderstadt</t>
  </si>
  <si>
    <t>Auefeld 10, 34346 Hann.Münden</t>
  </si>
  <si>
    <t>Gipsmühle 2-4, 37520 Osterode</t>
  </si>
  <si>
    <t>Bahnhofstr. 10, 37431 Bad Lauterberg</t>
  </si>
  <si>
    <t>Für die KdU-Berechnung werden folgende Daten berücksichtigt:</t>
  </si>
  <si>
    <t>Gemeinde</t>
  </si>
  <si>
    <t>bitte Ort auswählen</t>
  </si>
  <si>
    <t>FD 56.4 - Duderstadt</t>
  </si>
  <si>
    <t xml:space="preserve">FD 56.6 - Hann.Münden  </t>
  </si>
  <si>
    <t xml:space="preserve">FD 56.7 - Osterode  </t>
  </si>
  <si>
    <t>FD 56.8 - Südharz</t>
  </si>
  <si>
    <t>Bad Sachsa (Stadt)  - OT Steina</t>
  </si>
  <si>
    <t>Berechnungshilfe KdU: Ortsauswahl</t>
  </si>
  <si>
    <t>Straße, Hausnummer</t>
  </si>
  <si>
    <t>Ort</t>
  </si>
  <si>
    <t>Gemeinde/Ortsteil</t>
  </si>
  <si>
    <t>Name Antragsteller</t>
  </si>
  <si>
    <t>FB 52 - Stadt Göttingen</t>
  </si>
  <si>
    <t>Datum</t>
  </si>
  <si>
    <t>1. Allgemeine Angaben</t>
  </si>
  <si>
    <t>Euro</t>
  </si>
  <si>
    <t>2. Eingabe KdU-Daten</t>
  </si>
  <si>
    <t>Anzahl der Personen</t>
  </si>
  <si>
    <t>Warmwasseraufbereitung</t>
  </si>
  <si>
    <t>zentral</t>
  </si>
  <si>
    <t>dezentral</t>
  </si>
  <si>
    <t>ja</t>
  </si>
  <si>
    <t>nein</t>
  </si>
  <si>
    <t>Gesamtwohnfläche des Gebäudes</t>
  </si>
  <si>
    <t>Quadratmeter</t>
  </si>
  <si>
    <t>Energieausweis</t>
  </si>
  <si>
    <t>über 150 kWh/m²/Jahr</t>
  </si>
  <si>
    <t>liegt nicht vor</t>
  </si>
  <si>
    <t>nicht bekannt</t>
  </si>
  <si>
    <t>unter 75 kWh/m²/Jahr</t>
  </si>
  <si>
    <t>zwischen 75 und 150 kWh/m²/Jahr</t>
  </si>
  <si>
    <t>Pflichtfeld</t>
  </si>
  <si>
    <t>Name LSB</t>
  </si>
  <si>
    <t>LSB Name</t>
  </si>
  <si>
    <t>Mietbeginn bzw. Datum der Anpassung</t>
  </si>
  <si>
    <t>Energieträger</t>
  </si>
  <si>
    <t>Heizöl</t>
  </si>
  <si>
    <t>Fernwärme</t>
  </si>
  <si>
    <t>Wärmepumpe</t>
  </si>
  <si>
    <t>Wohnfläche des Gebäudes</t>
  </si>
  <si>
    <t>Gesamtmiete</t>
  </si>
  <si>
    <t>Prüfergebnis (1 = i. O.; 0 = leer)</t>
  </si>
  <si>
    <t>Gesamtergebnis: Pflichtfelder ausgefüllt?</t>
  </si>
  <si>
    <t>Energieausweis (Auswahl getroffen)</t>
  </si>
  <si>
    <t>Bruttokaltmiete</t>
  </si>
  <si>
    <t>m²</t>
  </si>
  <si>
    <t>x</t>
  </si>
  <si>
    <t>Summe</t>
  </si>
  <si>
    <t>Überschreitung</t>
  </si>
  <si>
    <t>Die Überschreitung der Gesamtangemessenheitsgrenze beruht auf der</t>
  </si>
  <si>
    <t>Unangemessenheit der Bruttokaltmiete.</t>
  </si>
  <si>
    <t>Unangemessenheit der Heizkosten.</t>
  </si>
  <si>
    <t>=&gt;</t>
  </si>
  <si>
    <t>Name BG-Vorstand</t>
  </si>
  <si>
    <t>Dienststelle</t>
  </si>
  <si>
    <t>Grunddaten</t>
  </si>
  <si>
    <t>Daten für Heizkostenberechnung</t>
  </si>
  <si>
    <t>Anzahl der Bewohner</t>
  </si>
  <si>
    <t>Wohnfläche der Wohnung</t>
  </si>
  <si>
    <t>Klimabonus</t>
  </si>
  <si>
    <t>2.2. Pflichtfelder</t>
  </si>
  <si>
    <t>Heizkostenvorauszahlung</t>
  </si>
  <si>
    <t>Betriebskostenvorauszahlung</t>
  </si>
  <si>
    <t>zzgl. Klimabonus</t>
  </si>
  <si>
    <t>abzgl. Klimabonus</t>
  </si>
  <si>
    <t>3.1. Berücksichtigte KdU-Daten</t>
  </si>
  <si>
    <t>Grunddaten Wohnung</t>
  </si>
  <si>
    <t>berücksichtigte Personen</t>
  </si>
  <si>
    <t>BK-Vorauszahlungen</t>
  </si>
  <si>
    <t>HK-Vorauszahlungen</t>
  </si>
  <si>
    <t>Tats. Wohnfläche</t>
  </si>
  <si>
    <t>max. angemessene Wohnfläche</t>
  </si>
  <si>
    <t>Energiebedarf bzw. Ausweis</t>
  </si>
  <si>
    <t>Wohnflächenmehrbedarf</t>
  </si>
  <si>
    <t>Stufe 1</t>
  </si>
  <si>
    <t>Stufe 2</t>
  </si>
  <si>
    <t>Tabelle können</t>
  </si>
  <si>
    <t>angepasst werden</t>
  </si>
  <si>
    <t>Personen</t>
  </si>
  <si>
    <t>Angemessene Wohnflächen</t>
  </si>
  <si>
    <t>3.2. Max. angemessene Wohnfläche</t>
  </si>
  <si>
    <t>Wohnflächen-MB</t>
  </si>
  <si>
    <t>(bei MB jeweils nächsthöhere Stufe)</t>
  </si>
  <si>
    <t>Klimabonus-Stufe</t>
  </si>
  <si>
    <t>max. angem. Wohnfläche</t>
  </si>
  <si>
    <t>Werte in der Tabelle</t>
  </si>
  <si>
    <t>können angepasst</t>
  </si>
  <si>
    <t>werden</t>
  </si>
  <si>
    <t>2.1. Drop-Down-Listen (Texteinträge) - Hier bitte keine Änderungen vornehmen, da anderenfalls die Berechnung nicht mehr funktioniert</t>
  </si>
  <si>
    <t>Stufenwerte in der</t>
  </si>
  <si>
    <t>Bitte m²-Werte nur in</t>
  </si>
  <si>
    <t>der Tabelle oben</t>
  </si>
  <si>
    <t>anpassen</t>
  </si>
  <si>
    <t>unter Ziffer 3.2.</t>
  </si>
  <si>
    <t>3.3. Klimabonus</t>
  </si>
  <si>
    <t>KdU-Berechnung ab (Datum)</t>
  </si>
  <si>
    <t>Berechnung ab</t>
  </si>
  <si>
    <t>GZR</t>
  </si>
  <si>
    <t>berücksichtigter Heizspiegel:</t>
  </si>
  <si>
    <t>berücksichtigter Energieträger</t>
  </si>
  <si>
    <t xml:space="preserve"> </t>
  </si>
  <si>
    <t>Codierung</t>
  </si>
  <si>
    <t>Jahr</t>
  </si>
  <si>
    <t>Untergrenze</t>
  </si>
  <si>
    <t>Obergrenze</t>
  </si>
  <si>
    <t>Berechnung</t>
  </si>
  <si>
    <t>ab</t>
  </si>
  <si>
    <t>bis</t>
  </si>
  <si>
    <t>A</t>
  </si>
  <si>
    <t>B</t>
  </si>
  <si>
    <t>C</t>
  </si>
  <si>
    <t>D</t>
  </si>
  <si>
    <t>Hinweis: Bundesheizkostenspiegel definieren für die Schwellenwerte keine exakte Zuordnung (z. B. Obergrenze 250 m², nächsthöhere Stufe ab 251 m²).
Wohnfläche des Gebäudes wird mit A - D codiert, die Größe liegt dann zwischen Unter- und Obergrenze.</t>
  </si>
  <si>
    <t>berücksichtigte Gebäudewohnfläche</t>
  </si>
  <si>
    <t>Kennwert im Einzelfall:</t>
  </si>
  <si>
    <t>Erdgas</t>
  </si>
  <si>
    <t>xx1</t>
  </si>
  <si>
    <t>xx2</t>
  </si>
  <si>
    <t>xx3</t>
  </si>
  <si>
    <t>xx4</t>
  </si>
  <si>
    <t>Wärmep.</t>
  </si>
  <si>
    <t>0-250 m²</t>
  </si>
  <si>
    <t>251-500 m²</t>
  </si>
  <si>
    <t>501-1000 m²</t>
  </si>
  <si>
    <t>&gt; 1000 m²</t>
  </si>
  <si>
    <t>Code</t>
  </si>
  <si>
    <t>1A1</t>
  </si>
  <si>
    <t>1B1</t>
  </si>
  <si>
    <t>1C1</t>
  </si>
  <si>
    <t>2C2</t>
  </si>
  <si>
    <t>1D1</t>
  </si>
  <si>
    <t>1A2</t>
  </si>
  <si>
    <t>1B2</t>
  </si>
  <si>
    <t>1C2</t>
  </si>
  <si>
    <t>1D2</t>
  </si>
  <si>
    <t>1A3</t>
  </si>
  <si>
    <t>1B3</t>
  </si>
  <si>
    <t>1C3</t>
  </si>
  <si>
    <t>1D3</t>
  </si>
  <si>
    <t>1A4</t>
  </si>
  <si>
    <t>1B4</t>
  </si>
  <si>
    <t>1C4</t>
  </si>
  <si>
    <t>1D4</t>
  </si>
  <si>
    <t>Wert in €</t>
  </si>
  <si>
    <t>2A1</t>
  </si>
  <si>
    <t>5B1</t>
  </si>
  <si>
    <t>10C1</t>
  </si>
  <si>
    <t>2A2</t>
  </si>
  <si>
    <t>5B2</t>
  </si>
  <si>
    <t>10C2</t>
  </si>
  <si>
    <t>2A3</t>
  </si>
  <si>
    <t>5B3</t>
  </si>
  <si>
    <t>10C3</t>
  </si>
  <si>
    <t>2A4</t>
  </si>
  <si>
    <t>5B4</t>
  </si>
  <si>
    <t>10C4</t>
  </si>
  <si>
    <t>2B1</t>
  </si>
  <si>
    <t>5C1</t>
  </si>
  <si>
    <t>2B2</t>
  </si>
  <si>
    <t>5C2</t>
  </si>
  <si>
    <t>2B3</t>
  </si>
  <si>
    <t>5C3</t>
  </si>
  <si>
    <t>2B4</t>
  </si>
  <si>
    <t>5C4</t>
  </si>
  <si>
    <t>2C1</t>
  </si>
  <si>
    <t>2D1</t>
  </si>
  <si>
    <t>2D2</t>
  </si>
  <si>
    <t>2C3</t>
  </si>
  <si>
    <t>2D3</t>
  </si>
  <si>
    <t>2C4</t>
  </si>
  <si>
    <t>2D4</t>
  </si>
  <si>
    <t>2019 (1)</t>
  </si>
  <si>
    <t>2020 (2)</t>
  </si>
  <si>
    <t>3A1</t>
  </si>
  <si>
    <t>3B1</t>
  </si>
  <si>
    <t>3C1</t>
  </si>
  <si>
    <t>3D1</t>
  </si>
  <si>
    <t>3A2</t>
  </si>
  <si>
    <t>3B2</t>
  </si>
  <si>
    <t>3C2</t>
  </si>
  <si>
    <t>3D2</t>
  </si>
  <si>
    <t>3A3</t>
  </si>
  <si>
    <t>3B3</t>
  </si>
  <si>
    <t>3C3</t>
  </si>
  <si>
    <t>3D3</t>
  </si>
  <si>
    <t>3A4</t>
  </si>
  <si>
    <t>3B4</t>
  </si>
  <si>
    <t>3C4</t>
  </si>
  <si>
    <t>3D4</t>
  </si>
  <si>
    <t>4A1</t>
  </si>
  <si>
    <t>4B2</t>
  </si>
  <si>
    <t>8C2</t>
  </si>
  <si>
    <t>4D3</t>
  </si>
  <si>
    <t>4C4</t>
  </si>
  <si>
    <t>9D4</t>
  </si>
  <si>
    <t>5A1</t>
  </si>
  <si>
    <t>2024 (6)</t>
  </si>
  <si>
    <t>2025 (7)</t>
  </si>
  <si>
    <t>2026 (8)</t>
  </si>
  <si>
    <t>2027 (9)</t>
  </si>
  <si>
    <t>2028 (10)</t>
  </si>
  <si>
    <t>2029 (11)</t>
  </si>
  <si>
    <t>2030 (12)</t>
  </si>
  <si>
    <t>6A1</t>
  </si>
  <si>
    <t>4C1</t>
  </si>
  <si>
    <t>8A2</t>
  </si>
  <si>
    <t>7B2</t>
  </si>
  <si>
    <t>6C2</t>
  </si>
  <si>
    <t>6D2</t>
  </si>
  <si>
    <t>9C3</t>
  </si>
  <si>
    <t>8D3</t>
  </si>
  <si>
    <t>9C4</t>
  </si>
  <si>
    <t>8D4</t>
  </si>
  <si>
    <t>7A1</t>
  </si>
  <si>
    <t>4D1</t>
  </si>
  <si>
    <t>7C2</t>
  </si>
  <si>
    <t>8A1</t>
  </si>
  <si>
    <t>8B1</t>
  </si>
  <si>
    <t>8C1</t>
  </si>
  <si>
    <t>8D1</t>
  </si>
  <si>
    <t>8B2</t>
  </si>
  <si>
    <t>8D2</t>
  </si>
  <si>
    <t>8A3</t>
  </si>
  <si>
    <t>8B3</t>
  </si>
  <si>
    <t>8C3</t>
  </si>
  <si>
    <t>8A4</t>
  </si>
  <si>
    <t>8B4</t>
  </si>
  <si>
    <t>8C4</t>
  </si>
  <si>
    <t>9A1</t>
  </si>
  <si>
    <t>9B1</t>
  </si>
  <si>
    <t>9C1</t>
  </si>
  <si>
    <t>9D1</t>
  </si>
  <si>
    <t>9A2</t>
  </si>
  <si>
    <t>9B2</t>
  </si>
  <si>
    <t>9C2</t>
  </si>
  <si>
    <t>9D2</t>
  </si>
  <si>
    <t>9A3</t>
  </si>
  <si>
    <t>9B3</t>
  </si>
  <si>
    <t>9D3</t>
  </si>
  <si>
    <t>9A4</t>
  </si>
  <si>
    <t>9B4</t>
  </si>
  <si>
    <t>10A1</t>
  </si>
  <si>
    <t>10A2</t>
  </si>
  <si>
    <t>10A3</t>
  </si>
  <si>
    <t>10A4</t>
  </si>
  <si>
    <t>11A1</t>
  </si>
  <si>
    <t>11B1</t>
  </si>
  <si>
    <t>11C1</t>
  </si>
  <si>
    <t>11D1</t>
  </si>
  <si>
    <t>11A2</t>
  </si>
  <si>
    <t>11B2</t>
  </si>
  <si>
    <t>11C2</t>
  </si>
  <si>
    <t>11D2</t>
  </si>
  <si>
    <t>11A3</t>
  </si>
  <si>
    <t>11B3</t>
  </si>
  <si>
    <t>11C3</t>
  </si>
  <si>
    <t>11D3</t>
  </si>
  <si>
    <t>11A4</t>
  </si>
  <si>
    <t>11B4</t>
  </si>
  <si>
    <t>11C4</t>
  </si>
  <si>
    <t>11D4</t>
  </si>
  <si>
    <t>12A1</t>
  </si>
  <si>
    <t>12B1</t>
  </si>
  <si>
    <t>12C1</t>
  </si>
  <si>
    <t>12D1</t>
  </si>
  <si>
    <t>12A2</t>
  </si>
  <si>
    <t>12B2</t>
  </si>
  <si>
    <t>12C2</t>
  </si>
  <si>
    <t>12D2</t>
  </si>
  <si>
    <t>12A3</t>
  </si>
  <si>
    <t>12B3</t>
  </si>
  <si>
    <t>12C3</t>
  </si>
  <si>
    <t>12D3</t>
  </si>
  <si>
    <t>12A4</t>
  </si>
  <si>
    <t>12B4</t>
  </si>
  <si>
    <t>12C4</t>
  </si>
  <si>
    <t>12D4</t>
  </si>
  <si>
    <t>4B1</t>
  </si>
  <si>
    <t>4A2</t>
  </si>
  <si>
    <t>4C2</t>
  </si>
  <si>
    <t>4D2</t>
  </si>
  <si>
    <t>4A3</t>
  </si>
  <si>
    <t>4B3</t>
  </si>
  <si>
    <t>4C3</t>
  </si>
  <si>
    <t>4A4</t>
  </si>
  <si>
    <t>4B4</t>
  </si>
  <si>
    <t>4D4</t>
  </si>
  <si>
    <t>6B1</t>
  </si>
  <si>
    <t>6C1</t>
  </si>
  <si>
    <t>6D1</t>
  </si>
  <si>
    <t>6A2</t>
  </si>
  <si>
    <t>6B2</t>
  </si>
  <si>
    <t>6A3</t>
  </si>
  <si>
    <t>6B3</t>
  </si>
  <si>
    <t>6C3</t>
  </si>
  <si>
    <t>6D3</t>
  </si>
  <si>
    <t>6A4</t>
  </si>
  <si>
    <t>6B4</t>
  </si>
  <si>
    <t>6C4</t>
  </si>
  <si>
    <t>6D4</t>
  </si>
  <si>
    <t>7B1</t>
  </si>
  <si>
    <t>7C1</t>
  </si>
  <si>
    <t>7D1</t>
  </si>
  <si>
    <t>7A2</t>
  </si>
  <si>
    <t>7D2</t>
  </si>
  <si>
    <t>7A3</t>
  </si>
  <si>
    <t>7B3</t>
  </si>
  <si>
    <t>7C3</t>
  </si>
  <si>
    <t>7D3</t>
  </si>
  <si>
    <t>7A4</t>
  </si>
  <si>
    <t>7B4</t>
  </si>
  <si>
    <t>7C4</t>
  </si>
  <si>
    <t>7D4</t>
  </si>
  <si>
    <t>5A4</t>
  </si>
  <si>
    <t>10B1</t>
  </si>
  <si>
    <t>5D1</t>
  </si>
  <si>
    <t>5A2</t>
  </si>
  <si>
    <t>5D2</t>
  </si>
  <si>
    <t>5A3</t>
  </si>
  <si>
    <t>5D3</t>
  </si>
  <si>
    <t>5D4</t>
  </si>
  <si>
    <t>10D1</t>
  </si>
  <si>
    <t>10D2</t>
  </si>
  <si>
    <t>10D3</t>
  </si>
  <si>
    <t>10D4</t>
  </si>
  <si>
    <t>10B2</t>
  </si>
  <si>
    <t>10B3</t>
  </si>
  <si>
    <t>10B4</t>
  </si>
  <si>
    <t>Der Kombination aus Heizspiegel, Gebäudewohnfläche und Energieträger wird im Einzelfall ein spezifischer Wert zugeordnet. Die unten stehende Kombination besteht aus Heizkostenspiegel (erste Ziffer), Gebäudewohnfläche (Buchstabe) und Energieträger (zweite Ziffer). Beispiel: "1B3" bedeutet, dass für die Berechnung der HK-Spiegel 2019 zu Grunde gelegt wird (=1), das Wohngebäude zwischen 251 und 500 m² Wohnfläche hat (=B) und als Energieträger Fernwärme zu Grunde gelegt wird (=3)</t>
  </si>
  <si>
    <t>Für KdH-Berechnung berücksichtigte, max. angemessene Heizkosten pro m² und Jahr</t>
  </si>
  <si>
    <t>/</t>
  </si>
  <si>
    <t>=</t>
  </si>
  <si>
    <t>€ max. angemessene mtl. Heizkosten</t>
  </si>
  <si>
    <t>3. Berechnung der (angemessenen) KdU/H</t>
  </si>
  <si>
    <t>Abstrakte Angemessenheitsgrenzen im Landkreis Göttingen</t>
  </si>
  <si>
    <t>I</t>
  </si>
  <si>
    <t>Angemessenheitswerte nach IWU 2019</t>
  </si>
  <si>
    <t>IWU 2019</t>
  </si>
  <si>
    <t>Bezeichnung</t>
  </si>
  <si>
    <t>berücksichtigte, abstrakte Angemessenheitsgrenze</t>
  </si>
  <si>
    <t>zugeordnet</t>
  </si>
  <si>
    <t>E</t>
  </si>
  <si>
    <t>F</t>
  </si>
  <si>
    <t>G</t>
  </si>
  <si>
    <t>H</t>
  </si>
  <si>
    <t>J</t>
  </si>
  <si>
    <t>berücksichtigte Wohnfläche</t>
  </si>
  <si>
    <t>Kennwert im Einzelfall</t>
  </si>
  <si>
    <t>3.5.3. Codierung für den konkreten Einzelfall</t>
  </si>
  <si>
    <t>1A5</t>
  </si>
  <si>
    <t>1A6</t>
  </si>
  <si>
    <t>1B5</t>
  </si>
  <si>
    <t>1B6</t>
  </si>
  <si>
    <t>1C5</t>
  </si>
  <si>
    <t>1C6</t>
  </si>
  <si>
    <t>1D5</t>
  </si>
  <si>
    <t>1D6</t>
  </si>
  <si>
    <t>1E1</t>
  </si>
  <si>
    <t>1E2</t>
  </si>
  <si>
    <t>1E3</t>
  </si>
  <si>
    <t>1E4</t>
  </si>
  <si>
    <t>1E5</t>
  </si>
  <si>
    <t>1E6</t>
  </si>
  <si>
    <t>1F1</t>
  </si>
  <si>
    <t>1F2</t>
  </si>
  <si>
    <t>1F3</t>
  </si>
  <si>
    <t>1F4</t>
  </si>
  <si>
    <t>1F5</t>
  </si>
  <si>
    <t>1F6</t>
  </si>
  <si>
    <t>1G1</t>
  </si>
  <si>
    <t>1G2</t>
  </si>
  <si>
    <t>1G3</t>
  </si>
  <si>
    <t>1G4</t>
  </si>
  <si>
    <t>1G5</t>
  </si>
  <si>
    <t>1G6</t>
  </si>
  <si>
    <t>1H1</t>
  </si>
  <si>
    <t>1H2</t>
  </si>
  <si>
    <t>1H3</t>
  </si>
  <si>
    <t>1H4</t>
  </si>
  <si>
    <t>1H5</t>
  </si>
  <si>
    <t>1H6</t>
  </si>
  <si>
    <t>1I1</t>
  </si>
  <si>
    <t>1I2</t>
  </si>
  <si>
    <t>1I3</t>
  </si>
  <si>
    <t>1I4</t>
  </si>
  <si>
    <t>1I5</t>
  </si>
  <si>
    <t>1I6</t>
  </si>
  <si>
    <t>1J1</t>
  </si>
  <si>
    <t>1J2</t>
  </si>
  <si>
    <t>1J3</t>
  </si>
  <si>
    <t>1J4</t>
  </si>
  <si>
    <t>1J5</t>
  </si>
  <si>
    <t>1J6</t>
  </si>
  <si>
    <t>Vgl. zur Erweiterung der Formel oben 3.4.6. entsprechend</t>
  </si>
  <si>
    <t>Mietstufe 1</t>
  </si>
  <si>
    <t>Mietstufe 2</t>
  </si>
  <si>
    <t>Mietstufe 3</t>
  </si>
  <si>
    <t>Mietstufe 4</t>
  </si>
  <si>
    <t>Mietstufe 5</t>
  </si>
  <si>
    <t>Mietstufe 6</t>
  </si>
  <si>
    <t>Für die KdU-Berechnung im Einzelfall berücksichtigte Angemessenheitsgrenze:</t>
  </si>
  <si>
    <t>Formeln zur Ermittlung der Angemessenheitsgrenze im Einzelfall</t>
  </si>
  <si>
    <t>Formeln zur Berechnung der max. angemessenen Heizkosten (nach jeweils gültigem Heizkostenspiegel)</t>
  </si>
  <si>
    <t>Mit Klimabonus</t>
  </si>
  <si>
    <t>4. KdU/H-Berechnung</t>
  </si>
  <si>
    <t>tats. KdU</t>
  </si>
  <si>
    <t>angem. KdU</t>
  </si>
  <si>
    <t>Berechnung mit Klimabonus</t>
  </si>
  <si>
    <t>Tats. KdU ohne Klimabonus angemessen</t>
  </si>
  <si>
    <t>Tats. KdU mit Klimabonus angemessen</t>
  </si>
  <si>
    <t>Tats. KdU mit Klimabonus unangemessen</t>
  </si>
  <si>
    <t>angemessen =</t>
  </si>
  <si>
    <t>Prüfung: Summe Angem. KdU + KB &gt;= tats. KdU</t>
  </si>
  <si>
    <t>Gewährter KB im Einzelfall</t>
  </si>
  <si>
    <t>(angem. KdU =)</t>
  </si>
  <si>
    <t>(zzgl. anteilig KB =)</t>
  </si>
  <si>
    <t>Prüfung 1: Tats. KdU ohne Klimabonus angemessen</t>
  </si>
  <si>
    <t>Prüfung 2: Tats. KdU mit Klimabonus angemessen</t>
  </si>
  <si>
    <t>Prüfung 3: Tats. KdU mit Klimabonus unangemessen</t>
  </si>
  <si>
    <t>angemessener Betrag =</t>
  </si>
  <si>
    <t>tats. KdU =</t>
  </si>
  <si>
    <t>Ohne Klimabonus</t>
  </si>
  <si>
    <t>Berechnung ohne Klimabonus</t>
  </si>
  <si>
    <t>Tats. KdU angemessen</t>
  </si>
  <si>
    <t>Prüfung: Tats. KdU angemessen</t>
  </si>
  <si>
    <t>tats. KdH</t>
  </si>
  <si>
    <t>angem. KdH</t>
  </si>
  <si>
    <t>gewährter KB</t>
  </si>
  <si>
    <t>gewährter KB =</t>
  </si>
  <si>
    <t>angemessen (= tats. KDU)</t>
  </si>
  <si>
    <t>abzgl. bereits auf KdU gewährter KB</t>
  </si>
  <si>
    <t>angem. KdH abzgl. KB</t>
  </si>
  <si>
    <t>angemessen (= tats. KdU)</t>
  </si>
  <si>
    <t>Prüfung: Tats. KdU unangemessen</t>
  </si>
  <si>
    <t>Tats. KdU unangemessen</t>
  </si>
  <si>
    <t>Prüfung 1: KdU ohne Klimabonus angemessen - Angemessenheit HK</t>
  </si>
  <si>
    <t>Tats. HK ohne Klimabonus angemessen</t>
  </si>
  <si>
    <t>Tats. HK mit Klimabonus angemessen</t>
  </si>
  <si>
    <t>Tats. HK ohne Klimabonus unangemessen</t>
  </si>
  <si>
    <t>max. angem. HK</t>
  </si>
  <si>
    <t>angem. HK (= tats. HK)</t>
  </si>
  <si>
    <t>Tats. HK mit Klimabonus unangemessen</t>
  </si>
  <si>
    <t>max. angemessene HK</t>
  </si>
  <si>
    <t>(angem. HK abzgl. gewährter KB)</t>
  </si>
  <si>
    <t>4.1. Berechnung mit oder ohne Klimabonus</t>
  </si>
  <si>
    <t>4.2. Berechnung KdU</t>
  </si>
  <si>
    <t>Sollte der Klimabonus abgeschafft werden, siehe zur Anpassung der Berechnungshilfe unten Ziffer 4.1.</t>
  </si>
  <si>
    <t>Prüfung: Tats. KdH angemessen</t>
  </si>
  <si>
    <t>Tats. KdH angemessen</t>
  </si>
  <si>
    <t>angem. KdH (= tats. KdH)</t>
  </si>
  <si>
    <t>Prüfung: Tats. KdH unangemessen</t>
  </si>
  <si>
    <t>Tats. KdH unangemessen</t>
  </si>
  <si>
    <t>max. angem. KdH</t>
  </si>
  <si>
    <t>4.3. Berechnung KdH</t>
  </si>
  <si>
    <t>4.4. Berechnung Gesamtangemessenheitsgrenze</t>
  </si>
  <si>
    <t>KdU</t>
  </si>
  <si>
    <t>ohne Klimabonus angemessen</t>
  </si>
  <si>
    <t>mit Klimabonus angemessen</t>
  </si>
  <si>
    <t>mit Klimabonus unangemessen</t>
  </si>
  <si>
    <t>KdH</t>
  </si>
  <si>
    <t>ohne Klimabonus unangemessen</t>
  </si>
  <si>
    <t>Prüfung 2: KdU mit Klimabonus</t>
  </si>
  <si>
    <t>Prüfung § 22 Abs. 10 erforderlich?</t>
  </si>
  <si>
    <t>Keine Prüfung § 22 Abs. 10 (KdU/H angemessen)?</t>
  </si>
  <si>
    <t>Prüfung § 22 Abs. 10 erforderlich</t>
  </si>
  <si>
    <t>Gegenüberstellung:</t>
  </si>
  <si>
    <t>max. angemessene KdU</t>
  </si>
  <si>
    <t>Tats. KdU</t>
  </si>
  <si>
    <t>Tats. KdH</t>
  </si>
  <si>
    <t>max. angemessene KdH</t>
  </si>
  <si>
    <t xml:space="preserve">Die KdU/H sind </t>
  </si>
  <si>
    <t>gesamtangemessen</t>
  </si>
  <si>
    <t>gesamtunangemessen</t>
  </si>
  <si>
    <t>Fallgruppen</t>
  </si>
  <si>
    <t>KdU ohne Klimabonus angemessen + KdH ohne Klimabonus unangemessen</t>
  </si>
  <si>
    <t>KdU mit Klimabonus angemessen + KdH mit Klimabonus unangemessen</t>
  </si>
  <si>
    <t>zzgl. Klimabonus anteilig</t>
  </si>
  <si>
    <t>abzgl. auf KdU gewährter Klimabonus</t>
  </si>
  <si>
    <t>angemessene KdH abzgl. Klimabonus</t>
  </si>
  <si>
    <t>angemessene KdU zzgl. Klimabonus</t>
  </si>
  <si>
    <t>KdU mit Klimabonus unangemessen + KdH mit Klimabonus angemessen</t>
  </si>
  <si>
    <t>KdU mit Klimabonus unangemessen + KdH mit Klimabonus unangemessen</t>
  </si>
  <si>
    <t>angemessen</t>
  </si>
  <si>
    <t>unangemessen</t>
  </si>
  <si>
    <t>Klimabonus zu berücksichtigen?</t>
  </si>
  <si>
    <t>Berechnung ohne Klimabonus?</t>
  </si>
  <si>
    <t>Die KdU/H sind</t>
  </si>
  <si>
    <t>Für Ausgabe in Berechnungsgang zu berücksichtigen</t>
  </si>
  <si>
    <t>Überschreitung KdU</t>
  </si>
  <si>
    <t>Überschreitung der KdH</t>
  </si>
  <si>
    <t>Überschreitung KdH</t>
  </si>
  <si>
    <t>Überschreitung der Gesamtangemessenheitsgrenze um</t>
  </si>
  <si>
    <t>Monatliche Gesamtmiete in Euro</t>
  </si>
  <si>
    <t>Abzugsbeträge</t>
  </si>
  <si>
    <t>abzügl. Mieteinnahmen/Mietleistungen Dritter</t>
  </si>
  <si>
    <t>abzügl. sonstiger Abzug</t>
  </si>
  <si>
    <t>Sonderbedarfe</t>
  </si>
  <si>
    <t>€</t>
  </si>
  <si>
    <t>Tatsächliche Wohnfläche der Wohnung</t>
  </si>
  <si>
    <t>Pers.</t>
  </si>
  <si>
    <t>Anzahl der BG-Mitglieder</t>
  </si>
  <si>
    <t>Energieträger (Heizenergie, bitte auswählen)</t>
  </si>
  <si>
    <t>Betriebskostenvorauszahlungen lt. Vermieter</t>
  </si>
  <si>
    <t>berücksichtigungsfähige Bruttokaltmiete</t>
  </si>
  <si>
    <t>angemessene Bruttokaltmiete</t>
  </si>
  <si>
    <t>4.5. Ausgabe in der Berechnungshilfe (Daten)</t>
  </si>
  <si>
    <t>davon berücksichtigungsfähige Betriebskosten</t>
  </si>
  <si>
    <t>= Grund/Kaltmiete</t>
  </si>
  <si>
    <t>Abzugsbeträge (Summe)</t>
  </si>
  <si>
    <t>Grundmiete</t>
  </si>
  <si>
    <t>angemessene KdU</t>
  </si>
  <si>
    <t>HK (tats./beziffert)</t>
  </si>
  <si>
    <t>angem. HK nach BKHS</t>
  </si>
  <si>
    <t>angem. HK (abzgl. KB)</t>
  </si>
  <si>
    <t>Angemessene BKM nach Vergleichsraum</t>
  </si>
  <si>
    <t>Angemessene KdH nach BKHS</t>
  </si>
  <si>
    <t>(</t>
  </si>
  <si>
    <t>KdH unangemessen</t>
  </si>
  <si>
    <t>Berechnung der angemessenen KdU</t>
  </si>
  <si>
    <t>Textbausteine Klimabonus:</t>
  </si>
  <si>
    <t>unter Berücksichtigung des Klimabonus</t>
  </si>
  <si>
    <t>Stufe</t>
  </si>
  <si>
    <t>tats. Bruttokaltmiete</t>
  </si>
  <si>
    <t>(davon Betriebskosten)</t>
  </si>
  <si>
    <t>tats./beziff. Heizkosten</t>
  </si>
  <si>
    <t>€ Klimabonus)</t>
  </si>
  <si>
    <t>Summe tatsächliche KdU/H</t>
  </si>
  <si>
    <t>Summe max. angemessene KdU/H</t>
  </si>
  <si>
    <r>
      <t xml:space="preserve">€ angemessene Bruttokaltmiete </t>
    </r>
    <r>
      <rPr>
        <u/>
        <sz val="11"/>
        <rFont val="Calibri"/>
        <family val="2"/>
        <scheme val="minor"/>
      </rPr>
      <t>zzgl.</t>
    </r>
  </si>
  <si>
    <r>
      <t xml:space="preserve">€ angemessene Heizkosten </t>
    </r>
    <r>
      <rPr>
        <u/>
        <sz val="11"/>
        <rFont val="Calibri"/>
        <family val="2"/>
        <scheme val="minor"/>
      </rPr>
      <t>abzgl.</t>
    </r>
  </si>
  <si>
    <t>4.5.1. Angemessenheitsgrenzen</t>
  </si>
  <si>
    <t>4.5.2 Gesamtangemessenheitsgrenze</t>
  </si>
  <si>
    <t>Gesamtangemessenheitsgrenze i. S. d. § 22 Abs. 10 SGB II</t>
  </si>
  <si>
    <t>Tatsächliche KdU (Gesamtsumme)</t>
  </si>
  <si>
    <t>KdU unangemessen</t>
  </si>
  <si>
    <t>Differenz</t>
  </si>
  <si>
    <t>max. angemessene Bruttokaltmiete</t>
  </si>
  <si>
    <t>Vor der Einleitung eines Kostensenkungsverfahrens ist die Wirtschaftlichkeit</t>
  </si>
  <si>
    <t>Für die Kostensenkungsaufforderung zu berücksichtigen:</t>
  </si>
  <si>
    <t>max. angemessene Heizkosten</t>
  </si>
  <si>
    <t>eines Umzugs zu prüfen (§ 22 Abs. 1 S. 4 SGB II).</t>
  </si>
  <si>
    <t>= zu berücksichtigende Bruttokaltmiete</t>
  </si>
  <si>
    <t>3. Prüfung der angemessenen KdU nach § 22 Abs. 1 S. 1 SGB II</t>
  </si>
  <si>
    <t>2. Angaben KdU-Berechnung</t>
  </si>
  <si>
    <t>Energiebedarf (Energiebedarfsausweis)</t>
  </si>
  <si>
    <t>4. Prüfung der Gesamtangemessenheitsgrenze nach § 22 Abs. 10 SGB II</t>
  </si>
  <si>
    <t>tatsächliche Bruttokaltmiete</t>
  </si>
  <si>
    <t>Überschreitung der Gesamtangemessenheitsgrenze</t>
  </si>
  <si>
    <t>Unterschreitung der Gesamtangemessenheitsgrenze</t>
  </si>
  <si>
    <r>
      <t xml:space="preserve">Die KdU/H sind </t>
    </r>
    <r>
      <rPr>
        <b/>
        <u/>
        <sz val="9"/>
        <color theme="1"/>
        <rFont val="Arial"/>
        <family val="2"/>
      </rPr>
      <t>insgesamt unangemessen</t>
    </r>
    <r>
      <rPr>
        <b/>
        <sz val="9"/>
        <color theme="1"/>
        <rFont val="Arial"/>
        <family val="2"/>
      </rPr>
      <t xml:space="preserve"> i. S. d. § 22 Abs. 10 SGB II.</t>
    </r>
  </si>
  <si>
    <t xml:space="preserve">FD 56.5 - Göttingen Land </t>
  </si>
  <si>
    <t>Tats. Wohnfläche in m²</t>
  </si>
  <si>
    <t>m² pro Person</t>
  </si>
  <si>
    <t>Überbelegung</t>
  </si>
  <si>
    <t>Heizkosten</t>
  </si>
  <si>
    <t>abzügl. Garagen-/Stellplatzmiete</t>
  </si>
  <si>
    <t>ja, in tats. Höhe</t>
  </si>
  <si>
    <t>ja, 5 %-Regel</t>
  </si>
  <si>
    <t>Bedarf Betriebsstrom Heizungsanlage</t>
  </si>
  <si>
    <t>Bedarf Heizstrom</t>
  </si>
  <si>
    <t>3.5. Heizkostenberechnung</t>
  </si>
  <si>
    <t>3.5.1. Für die Berechnung der KdH zu berücksichtigender Heizkostenspiegel</t>
  </si>
  <si>
    <t>3.5.2. Gebäudefläche</t>
  </si>
  <si>
    <t>3.5.3. Für die Berechnung der KdH zu berücksichtigender Energieträger</t>
  </si>
  <si>
    <t>3.5.4. Codierung der Kombination aus gültigem Heizspiegel, Gebäudefläche und Energieträger</t>
  </si>
  <si>
    <t>3.5.5. Werte Bundesheizspiegel</t>
  </si>
  <si>
    <t>3.5.6. Berechnung der max. angemessenen Heizkosten</t>
  </si>
  <si>
    <t>3.6. Berechnung der angemessenen Kosten der Unterkunft</t>
  </si>
  <si>
    <t>3.6.1. GZR Angemessenheitsgrenzen und Codierung</t>
  </si>
  <si>
    <t xml:space="preserve">Zur Bearbeitung der Tabelle siehe oben 3.5.1. entsprechend. </t>
  </si>
  <si>
    <t>Die Werte können bis einschließlich HK-Spiegel 2030 in der jeweiligen Spalte ergänzt werden. Die Berechnungshilfe berücksichtigt die Werte automatisch, sofern die Gültigkeitzeiträume unter 3.5.1. richtig angepasst werden. Die zugeordneten Codierungen bitte nicht verändern!</t>
  </si>
  <si>
    <t>3.6.2. Codierung max. angemessene Wohnfläche</t>
  </si>
  <si>
    <t>3.6.3. Werte Angemessenheitsgrenzen KdU</t>
  </si>
  <si>
    <t>3.6.5. Ermittlung der Angemessenheitsgrenze im Einzelfall</t>
  </si>
  <si>
    <t>3.4. Bedarf für Betriebsstrom für die Heizungsanlage</t>
  </si>
  <si>
    <t>Bedarf für Heizungsstrom</t>
  </si>
  <si>
    <t>(0 = nein, 1 = 5 %-Regel, 2 = separate Messeinrichtung, tats. Höhe)</t>
  </si>
  <si>
    <t>Höhe des tats. Bedarfs</t>
  </si>
  <si>
    <t>HK-Vorausz.</t>
  </si>
  <si>
    <t>Strom HK</t>
  </si>
  <si>
    <t>zzgl. Heizstrom (soweit gewährt)</t>
  </si>
  <si>
    <t>HK inkl. Heizstrom</t>
  </si>
  <si>
    <t>(entsprechend Datum "KdU-Berechnung ab")</t>
  </si>
  <si>
    <t>(entsprechend Eingabe "Energiebedarf")</t>
  </si>
  <si>
    <t>Berechnung mit Bedarf für Heizanlagenstrom</t>
  </si>
  <si>
    <t>€ Betriebsstrom)</t>
  </si>
  <si>
    <r>
      <t xml:space="preserve">€ HK-Vorauszahlung </t>
    </r>
    <r>
      <rPr>
        <u/>
        <sz val="11"/>
        <rFont val="Calibri"/>
        <family val="2"/>
        <scheme val="minor"/>
      </rPr>
      <t>zzgl.</t>
    </r>
  </si>
  <si>
    <t>tats. Bedarf/Brennstoffkosten</t>
  </si>
  <si>
    <t>(tats. Bedarf bei separater Messeinrichtung oder 5% der Brennstoffkosten bei 5%-Regel)</t>
  </si>
  <si>
    <t>Brennstoffkosten</t>
  </si>
  <si>
    <t>5. Eingaben in comp.ASS</t>
  </si>
  <si>
    <t>5. Eingabe in comp.ASS</t>
  </si>
  <si>
    <t>comp.ASS-LSB "Miete"</t>
  </si>
  <si>
    <t>comp.ASS-LSB "Nebenkosten"</t>
  </si>
  <si>
    <t>comp.ASS-LSB "Heizkosten"</t>
  </si>
  <si>
    <t>comp.ASS-LSB "Heizungsstrom"</t>
  </si>
  <si>
    <t xml:space="preserve">  vor  </t>
  </si>
  <si>
    <t xml:space="preserve">  nach  </t>
  </si>
  <si>
    <t>Absenkung auf angemessene Kosten</t>
  </si>
  <si>
    <t>Nebenkosten</t>
  </si>
  <si>
    <t>Betriebsstrom</t>
  </si>
  <si>
    <t>übernahmefähige Grundmiete</t>
  </si>
  <si>
    <t>übernahmefähige Nebenkosten</t>
  </si>
  <si>
    <t>Darstellung - Grundmiete</t>
  </si>
  <si>
    <t>Darstellung - Nebenkosten</t>
  </si>
  <si>
    <t>übernahmefähiger Heizstrom</t>
  </si>
  <si>
    <t>übernahmefähige Heizkosten</t>
  </si>
  <si>
    <t>Berechnung Heizkosten und Heizstrom nach Absenkung</t>
  </si>
  <si>
    <t>Darstellung - Heizstrom</t>
  </si>
  <si>
    <t>Darstellung - Heizkosten</t>
  </si>
  <si>
    <t>Absenkung auf angemessene Kosten (tats. KdU)</t>
  </si>
  <si>
    <t>(Berechnungsbetrag)</t>
  </si>
  <si>
    <t>(Tats./Nachr. Betrag)</t>
  </si>
  <si>
    <t>Tats./Nachr. Betrag:</t>
  </si>
  <si>
    <t>Berechnungsbetrag:</t>
  </si>
  <si>
    <t>mtl. Vorausz. Heizkosten (tats./beziffert)</t>
  </si>
  <si>
    <t>LSB Miete</t>
  </si>
  <si>
    <t>LSB Nebenkosten</t>
  </si>
  <si>
    <t>LSB Heizkosten</t>
  </si>
  <si>
    <t>LSB Betriebsstrom</t>
  </si>
  <si>
    <t>Vor Absenkung ("tats./nachr. Betrag")</t>
  </si>
  <si>
    <t>5.1. a) Eingaben in comp.ASS m. Anm. comp.ASS-LSB-Betreuung (während Kostensenkungsverfahren: tats. Betrag unangemessene Kostenart (KdU/KdH) = 0,00 Euro)</t>
  </si>
  <si>
    <t>5.1. b) Eingaben in comp.ASS (vor Absenkung: Tats. Betrag = Berechnungsbetrag)</t>
  </si>
  <si>
    <t>Hinweis: 5.1. a) kann gelöscht werden, wenn 5.1. b) nach abschließender Klärung zur Anwendung kommt. Zellverlinkung auf Seite 3 der KdU-Berechnung dann prüfen/anpassen (Burghardt, 01.09.2021)</t>
  </si>
  <si>
    <t>Hinweis: 5.1. b) kann gelöscht werden, wenn 5.1. a) nach abschließender Klärung zur Anwendung kommt. Zellverlinkung auf Seite 3 der KdU-Berechnung dann prüfen/anpassen (Burghardt, 01.09.2021)</t>
  </si>
  <si>
    <t>Hinweis: Aktuell wird 5.1. b) für die Ausgabe in der KdU-Berechnung verwendet (Bu, 01.09.2021)</t>
  </si>
  <si>
    <t>5.2. Eingaben in comp.ASS (nach Absenkung)</t>
  </si>
  <si>
    <t>3.6.6. Prüfung einer Überbelegung nach dem NWoSchG</t>
  </si>
  <si>
    <t>max. angemessene Heizkosten (monatlich)</t>
  </si>
  <si>
    <t>tats./bezifferte  Heizkosten (monatlich)</t>
  </si>
  <si>
    <t>angemessene Heizkosten (monatlich)</t>
  </si>
  <si>
    <t>angemessene Heizkosten (jährlich)</t>
  </si>
  <si>
    <t>Zusätzliche Personen zur Miete</t>
  </si>
  <si>
    <t>Faktor für die Berechnung (Anteile der berücksichtigten Personen)</t>
  </si>
  <si>
    <t>zus. Pers. Miete:</t>
  </si>
  <si>
    <t>mtl. Kosten Betriebsstrom</t>
  </si>
  <si>
    <t>mtl. Brennstoffkosten</t>
  </si>
  <si>
    <t>Darstellung Grundmiete</t>
  </si>
  <si>
    <t>Berechnungsbetrag</t>
  </si>
  <si>
    <t>Tats./Nachr. Betrag</t>
  </si>
  <si>
    <t>Darstellung Nebenkosten</t>
  </si>
  <si>
    <t>Darstellung Heizstrom</t>
  </si>
  <si>
    <t>Darstellung Heizkosten</t>
  </si>
  <si>
    <t>Normaler Berechnungsgang</t>
  </si>
  <si>
    <t>(ohne zusätzliche Personen zur Miete)</t>
  </si>
  <si>
    <t>Berechnungsgang mit zusätzlichen</t>
  </si>
  <si>
    <t>Personen zur Miete</t>
  </si>
  <si>
    <t>Personenzahl (Faktor)</t>
  </si>
  <si>
    <t>Vor Absenkung ("tats./nachr. Betrag") OHNE zusätzliche Personen zur Miete</t>
  </si>
  <si>
    <t>Vor Absenkung ("tats./nachr. Betrag) MIT zusätzlichen Personen zur Miete</t>
  </si>
  <si>
    <t>Normaler Berechnungsgang:</t>
  </si>
  <si>
    <t>Berechnungsgang</t>
  </si>
  <si>
    <t>(1 für ohne zusätzliche Pers. zur Miete,</t>
  </si>
  <si>
    <t>0 für zusätzliche Pers. zur Miete)</t>
  </si>
  <si>
    <t>Darstellungsbetrag</t>
  </si>
  <si>
    <t>Anzahl der Bewohner (Überbelegung?)</t>
  </si>
  <si>
    <t xml:space="preserve">Hinweis: </t>
  </si>
  <si>
    <t xml:space="preserve"> zusätzliche Person(en) zur Miete in der comp.ASS LSB berücksichtigen!</t>
  </si>
  <si>
    <r>
      <t xml:space="preserve">max. angemessene Heizkosten </t>
    </r>
    <r>
      <rPr>
        <u/>
        <sz val="9"/>
        <color theme="1"/>
        <rFont val="Arial"/>
        <family val="2"/>
      </rPr>
      <t>jährlich</t>
    </r>
    <r>
      <rPr>
        <sz val="9"/>
        <color theme="1"/>
        <rFont val="Arial"/>
        <family val="2"/>
      </rPr>
      <t xml:space="preserve"> (= mtl. Betrag </t>
    </r>
    <r>
      <rPr>
        <u/>
        <sz val="9"/>
        <color theme="1"/>
        <rFont val="Arial"/>
        <family val="2"/>
      </rPr>
      <t>x 12</t>
    </r>
    <r>
      <rPr>
        <sz val="9"/>
        <color theme="1"/>
        <rFont val="Arial"/>
        <family val="2"/>
      </rPr>
      <t>)</t>
    </r>
  </si>
  <si>
    <t>WoGG + 10%</t>
  </si>
  <si>
    <t>2E1</t>
  </si>
  <si>
    <t>2F1</t>
  </si>
  <si>
    <t>2G1</t>
  </si>
  <si>
    <t>2H1</t>
  </si>
  <si>
    <t>2I1</t>
  </si>
  <si>
    <t>2J1</t>
  </si>
  <si>
    <t>2E2</t>
  </si>
  <si>
    <t>2F2</t>
  </si>
  <si>
    <t>2G2</t>
  </si>
  <si>
    <t>2H2</t>
  </si>
  <si>
    <t>2I2</t>
  </si>
  <si>
    <t>2J2</t>
  </si>
  <si>
    <t>2F3</t>
  </si>
  <si>
    <t>2G3</t>
  </si>
  <si>
    <t>2H3</t>
  </si>
  <si>
    <t>2I3</t>
  </si>
  <si>
    <t>2J3</t>
  </si>
  <si>
    <t>2E3</t>
  </si>
  <si>
    <t>2F4</t>
  </si>
  <si>
    <t>2G4</t>
  </si>
  <si>
    <t>2H4</t>
  </si>
  <si>
    <t>2I4</t>
  </si>
  <si>
    <t>2J4</t>
  </si>
  <si>
    <t>2E4</t>
  </si>
  <si>
    <t>Angemessenheitswerte WoGG 2022 + 10% (WoGG-Anpassung in Kraft getreten zum 01.01.2022)</t>
  </si>
  <si>
    <t>WoGG+10%</t>
  </si>
  <si>
    <t>Forts. 2020</t>
  </si>
  <si>
    <t>Forts. 2020 (3)</t>
  </si>
  <si>
    <t>Fortschreibung 2020</t>
  </si>
  <si>
    <t>Neue Angemessenheitswerte müssen - da aktue noch nicht bekannt ist, wieviele Vergleichsräume (Mietstufen) bestehen werden - noch in die Formeln zur Ermittlung der Angemessenheitsgrenze aufgenommen oder neu verformelt werden (siehe 3.5.5.). Die Codierung ist oben unter 3.5.3. beschrieben, die neuen Angemessenheitswerte (Gutachten) werden entsprechend der Angaben unter 3.5.1. codiert (erste Ziffer). Neues Gutachten: Codierung beginnt mit fortlaufender erster Ziffer +1.</t>
  </si>
  <si>
    <t>WoGG 2022</t>
  </si>
  <si>
    <t>WoGG 2023</t>
  </si>
  <si>
    <t>WoGG + 10% (2023)</t>
  </si>
  <si>
    <t>Tabellenblatt "Ortsauswahl"</t>
  </si>
  <si>
    <t>Tabellenblatt "KdU-Berechnung"</t>
  </si>
  <si>
    <t>Im Tabellenblatt 'Ortsauswahl' wird die Mietstufe entsprechend Spalte L angezeigt. Spalte L bezieht die Angabe "KdU Berechnung ab" des Blattes "KdU-Berechnung" mit ein und gibt die nach Datum zugeorndete Mietstufe aus. Die Reihenfolge und Zellpositionen der Orte müssen in den Blättern Ortsauswahl und Mietstufenzuordnung identisch sein!</t>
  </si>
  <si>
    <t>Berechnung der monatlichen, max. angemessenen KdH vor Rundung in Zelle G265:</t>
  </si>
  <si>
    <t xml:space="preserve">Sollte der Klimabonus abgeschafft werden, so kann die Formel oben händisch überschrieben werden, sodass die Berechnung stets ohne Klimabonus ausgeführt wird. Zu diesem Zweck ist die Ziffer 0 in Zelle D362 und die Ziffer 1 in Zelle D363 einzusetzen. </t>
  </si>
  <si>
    <t>LK für 2023 (4)</t>
  </si>
  <si>
    <t>LK für 2023</t>
  </si>
  <si>
    <t>Angemessenheitswerte KdU:</t>
  </si>
  <si>
    <t>Angemessenheitswerte Heizkosten:</t>
  </si>
  <si>
    <t>Klimabonus:</t>
  </si>
  <si>
    <t>Datum der Erstellung des Vermerks</t>
  </si>
  <si>
    <t>Berechnung für den Zeitraum ab</t>
  </si>
  <si>
    <t>Berechnungsbeträge (Bruttokaltmiete)</t>
  </si>
  <si>
    <t>Mietstufe nach</t>
  </si>
  <si>
    <t>Die tatsächliche Bruttokaltmiete beträgt</t>
  </si>
  <si>
    <t>Die angemessene Bruttokaltmiete beträgt</t>
  </si>
  <si>
    <t>Angemessenheit der Bruttokaltmiete</t>
  </si>
  <si>
    <t>Die neue Bruttokaltmiete ist angemessen</t>
  </si>
  <si>
    <t>Die neue Bruttokaltmiete ist nicht angemessen</t>
  </si>
  <si>
    <t>Darstellung Datenblatt Zusicherung</t>
  </si>
  <si>
    <t>jedoch</t>
  </si>
  <si>
    <t>überbelegt</t>
  </si>
  <si>
    <t>nicht überbelegt</t>
  </si>
  <si>
    <t>Die Bruttokaltmiete für die neue Wohnung ist rechnerisch</t>
  </si>
  <si>
    <t>zudem</t>
  </si>
  <si>
    <t>unangemessen.</t>
  </si>
  <si>
    <t>angemessen.</t>
  </si>
  <si>
    <t>Angemessen und nicht überbelegt:</t>
  </si>
  <si>
    <t>Angemessen aber überbelegt:</t>
  </si>
  <si>
    <t>Zeile 2:</t>
  </si>
  <si>
    <t>Unangemessen und nicht überbelegt:</t>
  </si>
  <si>
    <t>Unangemessen und überbelegt:</t>
  </si>
  <si>
    <t>Wohnfläche der Wohnung (m²)</t>
  </si>
  <si>
    <t>(keine Unterschreitung der Mindestwohnfläche von 10 m² pro Person, § 2 Nr. 5a NWoSchG).</t>
  </si>
  <si>
    <t>zumindest</t>
  </si>
  <si>
    <t>Die Wohnung wäre</t>
  </si>
  <si>
    <t>Die Zusicherung für die neue Wohnung wird</t>
  </si>
  <si>
    <t>erteilt</t>
  </si>
  <si>
    <t>nicht erteilt</t>
  </si>
  <si>
    <t>bitte auswählen</t>
  </si>
  <si>
    <t>Vermerk</t>
  </si>
  <si>
    <t>über die Entscheidung zur Erteilung einer Zusicherung nach § 22 Abs. 4 SGB II</t>
  </si>
  <si>
    <t>Erläuterung:</t>
  </si>
  <si>
    <t>Seite 1 von 1</t>
  </si>
  <si>
    <t>Ausfüllhinweis: Bitte das Prüfungsergebnis am Ende dieses Tabellenblatts auswählen und ggf. begründen</t>
  </si>
  <si>
    <t>Allgemeine Informationen</t>
  </si>
  <si>
    <t>Energieträger Heizenergie</t>
  </si>
  <si>
    <t>Gesamtwohnfläche des Gebäudes (m²)</t>
  </si>
  <si>
    <t>mtl. Vorauszahlung Heizkosten (tats./beziffert) (€)</t>
  </si>
  <si>
    <t>Berechnungsbeträge (für Heizkosten nach tats. Wohnfläche)</t>
  </si>
  <si>
    <t>Darstellung Datenblatt HeizK in Karenzzeit</t>
  </si>
  <si>
    <t>3.2.a) Heizkostenprüfung während laufender Karenzzeit</t>
  </si>
  <si>
    <t>Tatsächliche Wohnfläche</t>
  </si>
  <si>
    <t>3.5.6.a Berechnung der angemessenen Heizkosten nach Wohnfläche (während Karenzzeit)</t>
  </si>
  <si>
    <t>Bezug: max. angemessene Heizkosten pro m² bezogen auf Energie-träger, Heizkostenspiegel und Gebäudewohnfläche (= Zelle H 261)</t>
  </si>
  <si>
    <t>Berechnung der monatlichen, max. angemessenen KdH vor Rundung in Zelle Q265:</t>
  </si>
  <si>
    <t>4.5.a) Ausgabe in der Berechnungshilfe - Heizkostenprüfung nach tats. Wohnfläche</t>
  </si>
  <si>
    <t>Wohnflächenmehrbedarf der BG (m²)</t>
  </si>
  <si>
    <t>Vergleichsberechnung (reine, tats. Wfl.) vor Rundung</t>
  </si>
  <si>
    <t>max. angem. Monatliche Heizkosten nach tats. Wfl.</t>
  </si>
  <si>
    <t>Angemessenheitsgrenze nach tats. Wohnfläche (mtl.) =</t>
  </si>
  <si>
    <t>Angemessenheitsgrenze nach Ablauf der Karenzzeit (mtl.) =</t>
  </si>
  <si>
    <t>Angem. HK nach Abl. Karenzzeit &gt;= angem. HK nach tats. Wfl.</t>
  </si>
  <si>
    <t>Angemessenheit der Heizkosten während der Karenzzeit</t>
  </si>
  <si>
    <t>Zu berücksichtigende, angemessene Heizkosten (mtl.) =</t>
  </si>
  <si>
    <t>Zu berücksichtigende, angemessene Heizkosten (jährl.) =</t>
  </si>
  <si>
    <t>Tats. HK &gt; angem. HK</t>
  </si>
  <si>
    <t>Als angemessen anzusehende Beträge:</t>
  </si>
  <si>
    <t>Für eine Kostensenkungsaufforderung zu berücksichtigen:</t>
  </si>
  <si>
    <t>Angem. Heizkosten monatlich nach tats. Wohnfläche</t>
  </si>
  <si>
    <t>- Überbelegung -</t>
  </si>
  <si>
    <t>(Unterschreitung der Mindestwohnfläche von 10 m² pro Person, vgl. § 2 Nr. 5a NWoSchG).</t>
  </si>
  <si>
    <t>Vermerk - Zusicherung</t>
  </si>
  <si>
    <t>BG-Daten, Anschrift der neuen Unterkunft und Mietstufe</t>
  </si>
  <si>
    <t>BG-Daten, Anschrift der Unterkunft und Mietstufe</t>
  </si>
  <si>
    <t>Monatliche Gesamtmiete</t>
  </si>
  <si>
    <t>abzgl. Mieteinnahmen/Mietleistungen Dritter</t>
  </si>
  <si>
    <t>(davon Betriebskostenvorauszahlungen )</t>
  </si>
  <si>
    <t>abzgl. Heizkostenvorauszahlungen</t>
  </si>
  <si>
    <t>abzgl. Garagen/Stellplatzmiete</t>
  </si>
  <si>
    <t>abzgl. sonstige:</t>
  </si>
  <si>
    <t>zu berücksichtigende Bruttokaltmiete</t>
  </si>
  <si>
    <t>ggf. zzgl. Klimabonus</t>
  </si>
  <si>
    <t>Heizkosten: Berechnungsbeträge und Informationen zur Unterkunft</t>
  </si>
  <si>
    <t>Bruttokaltmiete: Berechnungsbeträge</t>
  </si>
  <si>
    <t>Sonstige Abzüge</t>
  </si>
  <si>
    <t>Mieteinnahmen/Mietleistungen Dritter</t>
  </si>
  <si>
    <t>Garagen-/Stellplatzmiete</t>
  </si>
  <si>
    <t>sonstiger Abzug 2</t>
  </si>
  <si>
    <t>sonstiger Abzug 1</t>
  </si>
  <si>
    <t>BG</t>
  </si>
  <si>
    <t>zus. Pers. Miete</t>
  </si>
  <si>
    <t>(davon Betriebskostenvorauszahlungen)</t>
  </si>
  <si>
    <t>mtl. Vorauszahlung Heizkosten (tats./beziffert)</t>
  </si>
  <si>
    <t>Wohnflächenmehrbedarf der BG</t>
  </si>
  <si>
    <t>Angemessenheit der Unterkunfts- und Heizkosten (außerhalb der Karenzzeit)</t>
  </si>
  <si>
    <t>Prüfung der Angemessenheit der Unterkunfts- und Heizkosten außerhalb der Karenzzeit</t>
  </si>
  <si>
    <t>Prüfung der Gesamtangemessenheitsgrenze nach § 22 Abs. 10 SGB II</t>
  </si>
  <si>
    <r>
      <t xml:space="preserve">Die KdU/H sind </t>
    </r>
    <r>
      <rPr>
        <b/>
        <u/>
        <sz val="8"/>
        <color theme="1"/>
        <rFont val="Arial"/>
        <family val="2"/>
      </rPr>
      <t>insgesamt unangemessen</t>
    </r>
    <r>
      <rPr>
        <b/>
        <sz val="8"/>
        <color theme="1"/>
        <rFont val="Arial"/>
        <family val="2"/>
      </rPr>
      <t xml:space="preserve"> i. S. d. § 22 Abs. 10 SGB II.</t>
    </r>
  </si>
  <si>
    <t>Eingabe</t>
  </si>
  <si>
    <t>Angemessenheit der KdU</t>
  </si>
  <si>
    <t>und Heizkosten außerhalb der Karenzzeit</t>
  </si>
  <si>
    <r>
      <t>Ausfüllhinweis:</t>
    </r>
    <r>
      <rPr>
        <sz val="9"/>
        <color theme="1"/>
        <rFont val="Arial"/>
        <family val="2"/>
      </rPr>
      <t xml:space="preserve"> In diesem Tabellenblatt bitte alle Angaben zur Unterkunft eintragen. Die Ergebnisse sind je nach Fallkonstellation den nachfolgenden Tabellenblättern zu entnehmen.</t>
    </r>
  </si>
  <si>
    <t>Angemessenheit der</t>
  </si>
  <si>
    <t>Heizkosten während der Karenzzeit</t>
  </si>
  <si>
    <t>Seite 1 von 2</t>
  </si>
  <si>
    <t>Seite 2 von 2</t>
  </si>
  <si>
    <t>Vorprüfung: Übernahmefähigkeit der Heizkosten im Rahmen der Gesamtangemessenheitsgrenze</t>
  </si>
  <si>
    <t>Tatsächliche Unterkunfts- und Heizkosten (Gesamtsumme)</t>
  </si>
  <si>
    <t>Angem. Heizkosten monatlich nach angem. Wohnfläche</t>
  </si>
  <si>
    <t>Die tatsächlichen monatlichen Heizkosten sind</t>
  </si>
  <si>
    <t xml:space="preserve">- bezogen auf die tatsächliche Wohnfläche - </t>
  </si>
  <si>
    <t>- bezogen auf die angemessene Wohnfläche -</t>
  </si>
  <si>
    <t>nicht angemessen</t>
  </si>
  <si>
    <t>. Es ist ein Kostensenkungsverfahren bezogen auf die Heizkosten einzuleiten.</t>
  </si>
  <si>
    <t>TATSÄCHLICHE</t>
  </si>
  <si>
    <t>ANGEMESSENE</t>
  </si>
  <si>
    <t>Wohnfläche</t>
  </si>
  <si>
    <t>Berechnungsgrundlage: ANGEMESSENE Wohnfläche</t>
  </si>
  <si>
    <t>Prüfung der Angemessenheit der Heizkosten während der Karenzzeit</t>
  </si>
  <si>
    <r>
      <t xml:space="preserve">Die Gesamtangemessenheitsgrenze wird </t>
    </r>
    <r>
      <rPr>
        <u/>
        <sz val="8"/>
        <color theme="1"/>
        <rFont val="Arial"/>
        <family val="2"/>
      </rPr>
      <t>überschritten</t>
    </r>
    <r>
      <rPr>
        <sz val="8"/>
        <color theme="1"/>
        <rFont val="Arial"/>
        <family val="2"/>
      </rPr>
      <t xml:space="preserve">. 
</t>
    </r>
    <r>
      <rPr>
        <u/>
        <sz val="8"/>
        <color theme="1"/>
        <rFont val="Arial"/>
        <family val="2"/>
      </rPr>
      <t>Die Angemessenheit der Heizkosten wird weiter geprüft (siehe unten)</t>
    </r>
  </si>
  <si>
    <r>
      <rPr>
        <u/>
        <sz val="9"/>
        <color theme="1"/>
        <rFont val="Arial"/>
        <family val="2"/>
      </rPr>
      <t xml:space="preserve">Hinweise:
</t>
    </r>
    <r>
      <rPr>
        <sz val="9"/>
        <color theme="1"/>
        <rFont val="Arial"/>
        <family val="2"/>
      </rPr>
      <t xml:space="preserve">
- Bis zur Absenkung auf die angemessenen Heizkosten werden die tatsächlichen Heizkosten übernommen.
- Während der Karenzzeit erfolgt eine Vergleichsberechnung zu den angemessenen Heizkosten (siehe unten). Die Einzelheiten sind im Leitfaden zu § 22 SGB II näher beschrieben.
</t>
    </r>
    <r>
      <rPr>
        <u/>
        <sz val="9"/>
        <color theme="1"/>
        <rFont val="Arial"/>
        <family val="2"/>
      </rPr>
      <t>Die Karenzzeit endet durch Zeitablauf oder infolge eines Umzugs ohne Zusicherung.</t>
    </r>
    <r>
      <rPr>
        <sz val="9"/>
        <color theme="1"/>
        <rFont val="Arial"/>
        <family val="2"/>
      </rPr>
      <t xml:space="preserve"> </t>
    </r>
    <r>
      <rPr>
        <u/>
        <sz val="9"/>
        <color theme="1"/>
        <rFont val="Arial"/>
        <family val="2"/>
      </rPr>
      <t>Nach Ende der Karenzzeit</t>
    </r>
    <r>
      <rPr>
        <sz val="9"/>
        <color theme="1"/>
        <rFont val="Arial"/>
        <family val="2"/>
      </rPr>
      <t xml:space="preserve"> bitte die Berechnung "KdU+HeizK außerhalb Karenzzeit" verwenden</t>
    </r>
  </si>
  <si>
    <t>Anzahl der Abschläge (jährlich)</t>
  </si>
  <si>
    <t>12 Abschläge</t>
  </si>
  <si>
    <t>11 Abschläge</t>
  </si>
  <si>
    <t>Abschläge</t>
  </si>
  <si>
    <t>Für KdU zu berücksichtigen</t>
  </si>
  <si>
    <t>ggf. Hochrechnung (bei 11 Abschläge HK)</t>
  </si>
  <si>
    <t>Anzahl der Abschläge pro Jahr</t>
  </si>
  <si>
    <t>Betriebsstrom für die Heizungsanlage</t>
  </si>
  <si>
    <t xml:space="preserve">max. angemessene Heizkosten (jährlich = mtl. Betrag x </t>
  </si>
  <si>
    <t>Ahornweg</t>
  </si>
  <si>
    <t>Allensteiner Weg</t>
  </si>
  <si>
    <t>Alte Bundesstr.</t>
  </si>
  <si>
    <t>Am Anger</t>
  </si>
  <si>
    <t>Am Felsenkeller</t>
  </si>
  <si>
    <t>Am Handweisergraben</t>
  </si>
  <si>
    <t>Am Junkernberge</t>
  </si>
  <si>
    <t>Am Korbhofe</t>
  </si>
  <si>
    <t>Am Kreuzesteine</t>
  </si>
  <si>
    <t>Am Roten Berge</t>
  </si>
  <si>
    <t>Am Saum</t>
  </si>
  <si>
    <t>Am Steffensberge</t>
  </si>
  <si>
    <t>Am Stollen</t>
  </si>
  <si>
    <t>Am Teiche</t>
  </si>
  <si>
    <t>Am Teichhof</t>
  </si>
  <si>
    <t>Am Weinberge</t>
  </si>
  <si>
    <t>An der Unteren Mühle</t>
  </si>
  <si>
    <t>Auf dem Plane</t>
  </si>
  <si>
    <t>Auf dem Thie</t>
  </si>
  <si>
    <t>Auf der Mauer</t>
  </si>
  <si>
    <t>August-Lange-Str.</t>
  </si>
  <si>
    <t>Berliner Str.</t>
  </si>
  <si>
    <t>Beuthener Weg</t>
  </si>
  <si>
    <t>Breite Str.</t>
  </si>
  <si>
    <t>Breslauer Str.</t>
  </si>
  <si>
    <t>Buchenweg</t>
  </si>
  <si>
    <t>Burgstr.</t>
  </si>
  <si>
    <t>Charlottenburger Weg</t>
  </si>
  <si>
    <t>Clobesbreite</t>
  </si>
  <si>
    <t>Dietrich-Bonhoeffer-Weg</t>
  </si>
  <si>
    <t>Dresdener Str.</t>
  </si>
  <si>
    <t>Eibenweg</t>
  </si>
  <si>
    <t>Eichenweg</t>
  </si>
  <si>
    <t>Elsbeerring</t>
  </si>
  <si>
    <t>Erlenweg</t>
  </si>
  <si>
    <t>Eschenweg</t>
  </si>
  <si>
    <t>Feldtorweg</t>
  </si>
  <si>
    <t>Friedrich-Münter-Str.</t>
  </si>
  <si>
    <t>Gartenweg</t>
  </si>
  <si>
    <t>Goethestr.</t>
  </si>
  <si>
    <t>Gottfried-Smidt-Str.</t>
  </si>
  <si>
    <t>Greifswalder Str.</t>
  </si>
  <si>
    <t>Grünberger Str.</t>
  </si>
  <si>
    <t>Görlitzer Str.</t>
  </si>
  <si>
    <t>Göttinger Str.</t>
  </si>
  <si>
    <t>Hinter dem Lohberge</t>
  </si>
  <si>
    <t>Hoher Weg</t>
  </si>
  <si>
    <t>Holunderweg</t>
  </si>
  <si>
    <t>Hopfenstieg</t>
  </si>
  <si>
    <t>Im Bache</t>
  </si>
  <si>
    <t>Im Dannensee</t>
  </si>
  <si>
    <t>Im Erbecke</t>
  </si>
  <si>
    <t>Im Winkel</t>
  </si>
  <si>
    <t>Industriestr.</t>
  </si>
  <si>
    <t>Kantstr.</t>
  </si>
  <si>
    <t>Kastanienweg</t>
  </si>
  <si>
    <t>Kiefernweg</t>
  </si>
  <si>
    <t>Kirchgasse</t>
  </si>
  <si>
    <t>Kolberger Str.</t>
  </si>
  <si>
    <t>Königsberger Str.</t>
  </si>
  <si>
    <t>Leinetal</t>
  </si>
  <si>
    <t>Leipziger Str.</t>
  </si>
  <si>
    <t>Liegnitzer Str.</t>
  </si>
  <si>
    <t>Lärchenweg</t>
  </si>
  <si>
    <t>Lönsweg</t>
  </si>
  <si>
    <t>Maienweg</t>
  </si>
  <si>
    <t>Mariaspringweg</t>
  </si>
  <si>
    <t>Marienburger Str.</t>
  </si>
  <si>
    <t>Maschweg</t>
  </si>
  <si>
    <t>Mörikeweg</t>
  </si>
  <si>
    <t>Mühlenweg</t>
  </si>
  <si>
    <t>Obere Gasse</t>
  </si>
  <si>
    <t>Osterberg</t>
  </si>
  <si>
    <t>Otto-Reinbold-Str.</t>
  </si>
  <si>
    <t>Plesseweg</t>
  </si>
  <si>
    <t>Rathausplatz</t>
  </si>
  <si>
    <t>Rauschenwasser</t>
  </si>
  <si>
    <t>Rilkestr.</t>
  </si>
  <si>
    <t>Schillerstr.</t>
  </si>
  <si>
    <t>Schlehdornweg</t>
  </si>
  <si>
    <t>Schneeballweg</t>
  </si>
  <si>
    <t>Schöneberger Weg</t>
  </si>
  <si>
    <t>Silberkuhlenweg</t>
  </si>
  <si>
    <t>Sohnreystr.</t>
  </si>
  <si>
    <t>Sonnenberg</t>
  </si>
  <si>
    <t>Steffensweg</t>
  </si>
  <si>
    <t>Steinbreite</t>
  </si>
  <si>
    <t>Steinweg</t>
  </si>
  <si>
    <t>Südring</t>
  </si>
  <si>
    <t>Tannenweg</t>
  </si>
  <si>
    <t>Weidenbreite</t>
  </si>
  <si>
    <t>Weimarer Weg</t>
  </si>
  <si>
    <t>Weißdornweg</t>
  </si>
  <si>
    <t>Wilhelm-Busch-Str.</t>
  </si>
  <si>
    <t>Wilhelm-Evers-Str.</t>
  </si>
  <si>
    <t>Wilhelm-Raabe-Str.</t>
  </si>
  <si>
    <t>Wurzelbruchweg</t>
  </si>
  <si>
    <t>Zehntenstr.</t>
  </si>
  <si>
    <t>Äckerfeld</t>
  </si>
  <si>
    <t>Am Flüthedamm</t>
  </si>
  <si>
    <t>Am Freibad</t>
  </si>
  <si>
    <t>Am Großen Sieke</t>
  </si>
  <si>
    <t>Am hohlen Wege</t>
  </si>
  <si>
    <t>Am Hopfenberge</t>
  </si>
  <si>
    <t>Am Luhbach</t>
  </si>
  <si>
    <t>Am Pfarrgarten</t>
  </si>
  <si>
    <t>Am Plan</t>
  </si>
  <si>
    <t>An den Teichen</t>
  </si>
  <si>
    <t>An der Kapelle</t>
  </si>
  <si>
    <t>An der Rase</t>
  </si>
  <si>
    <t>An der Stupe</t>
  </si>
  <si>
    <t>An der Ziegelei</t>
  </si>
  <si>
    <t>Anne-Frank-Weg</t>
  </si>
  <si>
    <t>Ascherberg</t>
  </si>
  <si>
    <t>Auf der Feldscheide</t>
  </si>
  <si>
    <t>Bachbreite</t>
  </si>
  <si>
    <t>Bahnhofstr.</t>
  </si>
  <si>
    <t>Birkenweg</t>
  </si>
  <si>
    <t>Feldblick</t>
  </si>
  <si>
    <t>Flachsrotte</t>
  </si>
  <si>
    <t>Fliederweg</t>
  </si>
  <si>
    <t>Friedensstr.</t>
  </si>
  <si>
    <t>Grabenbreite</t>
  </si>
  <si>
    <t>Greitweg</t>
  </si>
  <si>
    <t>Grüner Weg</t>
  </si>
  <si>
    <t>Götzenbreite</t>
  </si>
  <si>
    <t>Hagenbreite</t>
  </si>
  <si>
    <t>Hambergstr.</t>
  </si>
  <si>
    <t>Haselweg</t>
  </si>
  <si>
    <t>Hinter dem Hamberge</t>
  </si>
  <si>
    <t>Hinter den Hagen</t>
  </si>
  <si>
    <t>Hinter den Höfen</t>
  </si>
  <si>
    <t>Hirtengasse</t>
  </si>
  <si>
    <t>Kampweg</t>
  </si>
  <si>
    <t>Kiesau</t>
  </si>
  <si>
    <t>Kirchstr.</t>
  </si>
  <si>
    <t>Knopensteg</t>
  </si>
  <si>
    <t>Lange Str.</t>
  </si>
  <si>
    <t>Leinestr.</t>
  </si>
  <si>
    <t>Mahntweg</t>
  </si>
  <si>
    <t>Masch</t>
  </si>
  <si>
    <t>Mauerhof</t>
  </si>
  <si>
    <t>Mengershäuser Weg</t>
  </si>
  <si>
    <t>Mergelgrube</t>
  </si>
  <si>
    <t>Mühlengrund</t>
  </si>
  <si>
    <t>Obere Mühlenstr.</t>
  </si>
  <si>
    <t>Obere Str.</t>
  </si>
  <si>
    <t>Olenhuser Landstr.</t>
  </si>
  <si>
    <t>Raiffeisenstr.</t>
  </si>
  <si>
    <t>Raseweg</t>
  </si>
  <si>
    <t>Rischenweg</t>
  </si>
  <si>
    <t>Rosenbaumweg</t>
  </si>
  <si>
    <t>Schlachthofstr.</t>
  </si>
  <si>
    <t>Schmiedestr.</t>
  </si>
  <si>
    <t>Sellenfried</t>
  </si>
  <si>
    <t>Siedlungsweg</t>
  </si>
  <si>
    <t>Siekweg</t>
  </si>
  <si>
    <t>Spickenweg</t>
  </si>
  <si>
    <t>Steinflurweg</t>
  </si>
  <si>
    <t>Stöckenweg</t>
  </si>
  <si>
    <t>Thiegasse</t>
  </si>
  <si>
    <t>Tiefenbrunn</t>
  </si>
  <si>
    <t>Ulenloch</t>
  </si>
  <si>
    <t>Ulmenstr.</t>
  </si>
  <si>
    <t>Untere Mühlenstr.</t>
  </si>
  <si>
    <t>Vor dem Warteberge</t>
  </si>
  <si>
    <t>Weidenweg</t>
  </si>
  <si>
    <t>Wiesenstr.</t>
  </si>
  <si>
    <t>Über der Lehmkuhle</t>
  </si>
  <si>
    <t>------ andere Straße (Gemeindegebiet Rosdorf) ------</t>
  </si>
  <si>
    <t>Straßenname</t>
  </si>
  <si>
    <t>Bovenden/Rosdorf ausgewählt</t>
  </si>
  <si>
    <t>bitte Straße eingeben:</t>
  </si>
  <si>
    <t>bitte Straße auswählen:</t>
  </si>
  <si>
    <t>Straße leer</t>
  </si>
  <si>
    <t xml:space="preserve"> ------ andere Straße (Gemeindegebiet Bovenden) ------</t>
  </si>
  <si>
    <t>Kernort Bovenden (Straßenliste)</t>
  </si>
  <si>
    <t>Kernort Rosdorf (Straßenliste)</t>
  </si>
  <si>
    <t>Straße im Freitext eingeben:</t>
  </si>
  <si>
    <t>IWU 2023</t>
  </si>
  <si>
    <t>Gemeinde Bovenden</t>
  </si>
  <si>
    <t>Gemeinde Rosdorf</t>
  </si>
  <si>
    <t>Rosdorf - Gemeindegebiet ohne Kernort</t>
  </si>
  <si>
    <t>Bovenden - Gemeindegebiet ohne Kernort</t>
  </si>
  <si>
    <t>Bovenden (Gemeinde)</t>
  </si>
  <si>
    <t>Rosdorf (Gemeinde)</t>
  </si>
  <si>
    <t>Hausnummer</t>
  </si>
  <si>
    <t>Straße</t>
  </si>
  <si>
    <t>Straße:</t>
  </si>
  <si>
    <t>3F1</t>
  </si>
  <si>
    <t>3G1</t>
  </si>
  <si>
    <t>3H1</t>
  </si>
  <si>
    <t>3I1</t>
  </si>
  <si>
    <t>3J1</t>
  </si>
  <si>
    <t>3E1</t>
  </si>
  <si>
    <t>3F2</t>
  </si>
  <si>
    <t>3G2</t>
  </si>
  <si>
    <t>3H2</t>
  </si>
  <si>
    <t>3I2</t>
  </si>
  <si>
    <t>3J2</t>
  </si>
  <si>
    <t>3E2</t>
  </si>
  <si>
    <t>3E3</t>
  </si>
  <si>
    <t>3F3</t>
  </si>
  <si>
    <t>3G3</t>
  </si>
  <si>
    <t>3H3</t>
  </si>
  <si>
    <t>3I3</t>
  </si>
  <si>
    <t>3J3</t>
  </si>
  <si>
    <t>3B5</t>
  </si>
  <si>
    <t>3E4</t>
  </si>
  <si>
    <t>3F4</t>
  </si>
  <si>
    <t>3G4</t>
  </si>
  <si>
    <t>3H4</t>
  </si>
  <si>
    <t>3I4</t>
  </si>
  <si>
    <t>3J4</t>
  </si>
  <si>
    <t>3A5</t>
  </si>
  <si>
    <t>3C5</t>
  </si>
  <si>
    <t>3D5</t>
  </si>
  <si>
    <t>3E5</t>
  </si>
  <si>
    <t>3F5</t>
  </si>
  <si>
    <t>3G5</t>
  </si>
  <si>
    <t>3H5</t>
  </si>
  <si>
    <t>3I5</t>
  </si>
  <si>
    <t>3J5</t>
  </si>
  <si>
    <t>a</t>
  </si>
  <si>
    <r>
      <t xml:space="preserve">(bezogen auf die </t>
    </r>
    <r>
      <rPr>
        <u/>
        <sz val="6.5"/>
        <color theme="1" tint="0.34998626667073579"/>
        <rFont val="Arial"/>
        <family val="2"/>
      </rPr>
      <t>angem. Wohnfläche)</t>
    </r>
  </si>
  <si>
    <r>
      <t xml:space="preserve">Die Gesamtangemessenheitsgrenze wird </t>
    </r>
    <r>
      <rPr>
        <u/>
        <sz val="8"/>
        <color theme="1"/>
        <rFont val="Arial"/>
        <family val="2"/>
      </rPr>
      <t>unterschritten</t>
    </r>
    <r>
      <rPr>
        <sz val="8"/>
        <color theme="1"/>
        <rFont val="Arial"/>
        <family val="2"/>
      </rPr>
      <t xml:space="preserve">. </t>
    </r>
    <r>
      <rPr>
        <u/>
        <sz val="8"/>
        <color theme="1"/>
        <rFont val="Arial"/>
        <family val="2"/>
      </rPr>
      <t>Eine weitere Überprüfung der Angemessenheit der Heizkosten ist aktuell nicht erforderlich</t>
    </r>
    <r>
      <rPr>
        <sz val="8"/>
        <color theme="1"/>
        <rFont val="Arial"/>
        <family val="2"/>
      </rPr>
      <t>, da die tatsächlichen Heizkosten im Rahmen der Gesamtangemessen-heitsgrenze jedenfalls übernommen werden können (</t>
    </r>
    <r>
      <rPr>
        <u/>
        <sz val="8"/>
        <color theme="1"/>
        <rFont val="Arial"/>
        <family val="2"/>
      </rPr>
      <t>erneute Prüfung bei Änderung der Verhältnisse</t>
    </r>
    <r>
      <rPr>
        <sz val="8"/>
        <color theme="1"/>
        <rFont val="Arial"/>
        <family val="2"/>
      </rPr>
      <t>).</t>
    </r>
  </si>
  <si>
    <t>Datengrundlage KdU:</t>
  </si>
  <si>
    <t>Datengrundlage Heizkosten:</t>
  </si>
  <si>
    <t>Hinweis: Die Jahreszahl in Spalte B bezieht sich auf die Jahreszahl des jeweiligen Bundesheizkostenspiegels (z. B. 2019 = Bundesheizkostenspiegel 2019). 
Für zukünftige Anpassungen: Heizspiegel GZR einfügen (Beginn-Datum in Spalte E, Ende-Datum in Spalte F) und Formel in A 170 entsprechend erweitern. GZR bis zum Inkrafttreten des nächsten HK-Spiegels offen lassen (Spalte F).
Die Funktion Sverweis in Zelle D 183 berücksichtigt Erweiterungen der Tabelle links automatisch und gibt als gültigen HK-Spiegel  denjenigen HK-Spiegel aus, für den der Wert in Spalte A = 1 ist. Die HK-Spiegel sind den Werten 1-12 zugeordnet (2019 = 1, siehe Spalte C). Welcher HK-Spiegel zur Anwendung kommt, bestimmt sich nach dem Datum "KdU-Berechnung ab" im Berechnungsmodul.</t>
  </si>
  <si>
    <t>Für den Einzelfall wird der Wohnung ein Kennwert zugeordnet, mit dem die Angemessenheitsgrenze aus der/den Tabelle(n) unten abgelesen wird. Die Codierung "1C2" bedeutet z. B., dass die Angemessenheitsgrenze nach IWU 2019 (vgl. oben 3.6.1.) für eine max. 75 m² große Wohnung (siehe 3.6.2.) der Mietstufe 2 (letzte Ziffer der Codierung, siehe Zelle B16) zu Grunde gelegt wird (Mietstufe wird aus Grunddaten ausgelesen, oben Zelle B16).</t>
  </si>
  <si>
    <t>Angemessenheitswerte nach IWU 2023 (Inkrafttreten zum 01.08.2023)</t>
  </si>
  <si>
    <t>LK für 2024</t>
  </si>
  <si>
    <t>LK für 2024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</si>
</sst>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7" x14ac:knownFonts="1">
    <font>
      <sz val="11"/>
      <color theme="1"/>
      <name val="Calibri"/>
      <family val="2"/>
      <scheme val="minor"/>
    </font>
    <font>
      <sz val="11"/>
      <name val="Arial"/>
      <family val="2"/>
    </font>
    <font>
      <sz val="11"/>
      <name val="Calibri"/>
      <family val="2"/>
      <scheme val="minor"/>
    </font>
    <font>
      <b/>
      <sz val="11"/>
      <name val="Arial"/>
      <family val="2"/>
    </font>
    <font>
      <sz val="11"/>
      <color theme="0" tint="-0.499984740745262"/>
      <name val="Arial"/>
      <family val="2"/>
    </font>
    <font>
      <sz val="11"/>
      <color theme="0"/>
      <name val="Arial"/>
      <family val="2"/>
    </font>
    <font>
      <b/>
      <sz val="14"/>
      <name val="Arial"/>
      <family val="2"/>
    </font>
    <font>
      <sz val="11"/>
      <color theme="1"/>
      <name val="Arial"/>
      <family val="2"/>
    </font>
    <font>
      <sz val="9"/>
      <color theme="1"/>
      <name val="Arial"/>
      <family val="2"/>
    </font>
    <font>
      <b/>
      <sz val="11"/>
      <color theme="1"/>
      <name val="Arial"/>
      <family val="2"/>
    </font>
    <font>
      <b/>
      <sz val="11"/>
      <name val="Calibri"/>
      <family val="2"/>
      <scheme val="minor"/>
    </font>
    <font>
      <sz val="14"/>
      <name val="Calibri"/>
      <family val="2"/>
      <scheme val="minor"/>
    </font>
    <font>
      <b/>
      <sz val="16"/>
      <name val="Calibri"/>
      <family val="2"/>
      <scheme val="minor"/>
    </font>
    <font>
      <b/>
      <u/>
      <sz val="11"/>
      <name val="Calibri"/>
      <family val="2"/>
      <scheme val="minor"/>
    </font>
    <font>
      <b/>
      <u/>
      <sz val="14"/>
      <name val="Calibri"/>
      <family val="2"/>
      <scheme val="minor"/>
    </font>
    <font>
      <sz val="9"/>
      <color rgb="FFFF0000"/>
      <name val="Arial"/>
      <family val="2"/>
    </font>
    <font>
      <b/>
      <sz val="9"/>
      <color theme="1"/>
      <name val="Arial"/>
      <family val="2"/>
    </font>
    <font>
      <b/>
      <u/>
      <sz val="9"/>
      <color theme="1"/>
      <name val="Arial"/>
      <family val="2"/>
    </font>
    <font>
      <b/>
      <sz val="12"/>
      <color theme="1"/>
      <name val="Arial"/>
      <family val="2"/>
    </font>
    <font>
      <b/>
      <u/>
      <sz val="9"/>
      <name val="Arial"/>
      <family val="2"/>
    </font>
    <font>
      <b/>
      <sz val="9"/>
      <name val="Arial"/>
      <family val="2"/>
    </font>
    <font>
      <b/>
      <sz val="7"/>
      <color indexed="81"/>
      <name val="Calibri"/>
      <family val="2"/>
      <scheme val="minor"/>
    </font>
    <font>
      <sz val="7"/>
      <color indexed="81"/>
      <name val="Calibri"/>
      <family val="2"/>
      <scheme val="minor"/>
    </font>
    <font>
      <b/>
      <sz val="14"/>
      <name val="Calibri"/>
      <family val="2"/>
      <scheme val="minor"/>
    </font>
    <font>
      <sz val="9"/>
      <name val="Calibri"/>
      <family val="2"/>
      <scheme val="minor"/>
    </font>
    <font>
      <sz val="9"/>
      <color indexed="81"/>
      <name val="Segoe UI"/>
      <family val="2"/>
    </font>
    <font>
      <b/>
      <sz val="9"/>
      <color indexed="81"/>
      <name val="Segoe UI"/>
      <family val="2"/>
    </font>
    <font>
      <sz val="7"/>
      <color theme="1"/>
      <name val="Arial"/>
      <family val="2"/>
    </font>
    <font>
      <sz val="7"/>
      <color indexed="81"/>
      <name val="Calibri"/>
      <family val="2"/>
    </font>
    <font>
      <u/>
      <sz val="11"/>
      <name val="Calibri"/>
      <family val="2"/>
      <scheme val="minor"/>
    </font>
    <font>
      <sz val="9"/>
      <name val="Arial"/>
      <family val="2"/>
    </font>
    <font>
      <i/>
      <sz val="11"/>
      <name val="Calibri"/>
      <family val="2"/>
      <scheme val="minor"/>
    </font>
    <font>
      <u/>
      <sz val="9"/>
      <color theme="1"/>
      <name val="Arial"/>
      <family val="2"/>
    </font>
    <font>
      <u/>
      <sz val="9"/>
      <name val="Arial"/>
      <family val="2"/>
    </font>
    <font>
      <b/>
      <sz val="12"/>
      <color rgb="FFFF0000"/>
      <name val="Arial"/>
      <family val="2"/>
    </font>
    <font>
      <b/>
      <sz val="8"/>
      <color theme="1"/>
      <name val="Arial"/>
      <family val="2"/>
    </font>
    <font>
      <sz val="8"/>
      <color theme="1"/>
      <name val="Arial"/>
      <family val="2"/>
    </font>
    <font>
      <b/>
      <sz val="7"/>
      <color indexed="81"/>
      <name val="Calibri"/>
      <family val="2"/>
    </font>
    <font>
      <sz val="7"/>
      <name val="Arial"/>
      <family val="2"/>
    </font>
    <font>
      <sz val="9"/>
      <color theme="0" tint="-0.499984740745262"/>
      <name val="Arial"/>
      <family val="2"/>
    </font>
    <font>
      <b/>
      <sz val="8"/>
      <color theme="1"/>
      <name val="Wingdings"/>
      <charset val="2"/>
    </font>
    <font>
      <b/>
      <sz val="12"/>
      <color theme="1"/>
      <name val="Calibri"/>
      <family val="2"/>
      <scheme val="minor"/>
    </font>
    <font>
      <b/>
      <sz val="12"/>
      <name val="Calibri"/>
      <family val="2"/>
      <scheme val="minor"/>
    </font>
    <font>
      <b/>
      <sz val="9"/>
      <color rgb="FFFF0000"/>
      <name val="Arial"/>
      <family val="2"/>
    </font>
    <font>
      <b/>
      <sz val="36"/>
      <color theme="1" tint="0.499984740745262"/>
      <name val="Arial"/>
      <family val="2"/>
    </font>
    <font>
      <sz val="28"/>
      <name val="Arial"/>
      <family val="2"/>
    </font>
    <font>
      <u/>
      <sz val="8"/>
      <color theme="1"/>
      <name val="Arial"/>
      <family val="2"/>
    </font>
    <font>
      <b/>
      <u/>
      <sz val="11"/>
      <color theme="1"/>
      <name val="Arial"/>
      <family val="2"/>
    </font>
    <font>
      <b/>
      <sz val="20"/>
      <color theme="1" tint="0.499984740745262"/>
      <name val="Arial"/>
      <family val="2"/>
    </font>
    <font>
      <b/>
      <u/>
      <sz val="8"/>
      <color theme="1"/>
      <name val="Arial"/>
      <family val="2"/>
    </font>
    <font>
      <sz val="8"/>
      <color rgb="FFFF0000"/>
      <name val="Arial"/>
      <family val="2"/>
    </font>
    <font>
      <i/>
      <sz val="8"/>
      <color theme="1"/>
      <name val="Arial"/>
      <family val="2"/>
    </font>
    <font>
      <b/>
      <sz val="10"/>
      <color rgb="FFFF0000"/>
      <name val="Arial"/>
      <family val="2"/>
    </font>
    <font>
      <u/>
      <sz val="8"/>
      <name val="Arial"/>
      <family val="2"/>
    </font>
    <font>
      <b/>
      <u/>
      <sz val="8"/>
      <name val="Arial"/>
      <family val="2"/>
    </font>
    <font>
      <sz val="8"/>
      <name val="Arial"/>
      <family val="2"/>
    </font>
    <font>
      <b/>
      <sz val="8"/>
      <name val="Arial"/>
      <family val="2"/>
    </font>
    <font>
      <b/>
      <sz val="9"/>
      <color theme="9" tint="-0.249977111117893"/>
      <name val="Arial"/>
      <family val="2"/>
    </font>
    <font>
      <b/>
      <sz val="8"/>
      <color rgb="FFFF0000"/>
      <name val="Arial"/>
      <family val="2"/>
    </font>
    <font>
      <b/>
      <sz val="11"/>
      <color rgb="FFFF0000"/>
      <name val="Arial"/>
      <family val="2"/>
    </font>
    <font>
      <sz val="8.5"/>
      <color theme="1"/>
      <name val="Arial"/>
      <family val="2"/>
    </font>
    <font>
      <sz val="8.5"/>
      <name val="Arial"/>
      <family val="2"/>
    </font>
    <font>
      <sz val="6.5"/>
      <color theme="1"/>
      <name val="Arial"/>
      <family val="2"/>
    </font>
    <font>
      <sz val="6.5"/>
      <color theme="1" tint="0.34998626667073579"/>
      <name val="Arial"/>
      <family val="2"/>
    </font>
    <font>
      <sz val="8"/>
      <color theme="1" tint="0.34998626667073579"/>
      <name val="Arial"/>
      <family val="2"/>
    </font>
    <font>
      <u/>
      <sz val="6.5"/>
      <color theme="1" tint="0.34998626667073579"/>
      <name val="Arial"/>
      <family val="2"/>
    </font>
    <font>
      <sz val="9"/>
      <color theme="1" tint="0.34998626667073579"/>
      <name val="Wingdings 3"/>
      <family val="1"/>
      <charset val="2"/>
    </font>
  </fonts>
  <fills count="28">
    <fill>
      <patternFill patternType="none"/>
    </fill>
    <fill>
      <patternFill patternType="gray125"/>
    </fill>
    <fill>
      <patternFill patternType="solid">
        <fgColor rgb="FFFFFF66"/>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0" tint="-0.14996795556505021"/>
        <bgColor indexed="64"/>
      </patternFill>
    </fill>
    <fill>
      <patternFill patternType="solid">
        <fgColor theme="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39994506668294322"/>
        <bgColor indexed="64"/>
      </patternFill>
    </fill>
    <fill>
      <patternFill patternType="solid">
        <fgColor theme="4" tint="0.3999450666829432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4659260841701"/>
        <bgColor indexed="64"/>
      </patternFill>
    </fill>
    <fill>
      <patternFill patternType="lightUp">
        <bgColor theme="4" tint="0.59999389629810485"/>
      </patternFill>
    </fill>
    <fill>
      <patternFill patternType="lightUp"/>
    </fill>
    <fill>
      <patternFill patternType="lightUp">
        <bgColor theme="4" tint="0.59996337778862885"/>
      </patternFill>
    </fill>
    <fill>
      <patternFill patternType="lightUp">
        <bgColor theme="7" tint="0.59999389629810485"/>
      </patternFill>
    </fill>
    <fill>
      <patternFill patternType="lightUp">
        <bgColor theme="2"/>
      </patternFill>
    </fill>
    <fill>
      <patternFill patternType="lightUp">
        <bgColor rgb="FFFFC000"/>
      </patternFill>
    </fill>
  </fills>
  <borders count="25">
    <border>
      <left/>
      <right/>
      <top/>
      <bottom/>
      <diagonal/>
    </border>
    <border>
      <left/>
      <right style="thin">
        <color auto="1"/>
      </right>
      <top/>
      <bottom/>
      <diagonal/>
    </border>
    <border>
      <left style="thin">
        <color auto="1"/>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s>
  <cellStyleXfs count="1">
    <xf numFmtId="0" fontId="0" fillId="0" borderId="0"/>
  </cellStyleXfs>
  <cellXfs count="827">
    <xf numFmtId="0" fontId="0" fillId="0" borderId="0" xfId="0"/>
    <xf numFmtId="0" fontId="2" fillId="0" borderId="0" xfId="0" applyFont="1" applyBorder="1"/>
    <xf numFmtId="0" fontId="2" fillId="0" borderId="0" xfId="0" applyFont="1" applyFill="1" applyBorder="1"/>
    <xf numFmtId="0" fontId="2" fillId="0" borderId="0" xfId="0" applyFont="1"/>
    <xf numFmtId="0" fontId="2" fillId="0" borderId="0" xfId="0" applyFont="1" applyAlignment="1">
      <alignment horizontal="left"/>
    </xf>
    <xf numFmtId="0" fontId="2" fillId="0" borderId="0" xfId="0" applyFont="1" applyFill="1"/>
    <xf numFmtId="2" fontId="2" fillId="0" borderId="0" xfId="0" applyNumberFormat="1" applyFont="1" applyFill="1"/>
    <xf numFmtId="0" fontId="8" fillId="0" borderId="0" xfId="0" applyFont="1" applyFill="1" applyAlignment="1"/>
    <xf numFmtId="0" fontId="8" fillId="0" borderId="0" xfId="0" applyFont="1" applyFill="1" applyBorder="1" applyAlignment="1"/>
    <xf numFmtId="0" fontId="2" fillId="0" borderId="4" xfId="0" applyFont="1" applyFill="1" applyBorder="1"/>
    <xf numFmtId="0" fontId="2" fillId="0" borderId="5" xfId="0" applyFont="1" applyFill="1" applyBorder="1"/>
    <xf numFmtId="0" fontId="2" fillId="0" borderId="6" xfId="0" applyFont="1" applyFill="1" applyBorder="1"/>
    <xf numFmtId="0" fontId="2" fillId="0" borderId="2" xfId="0" applyFont="1" applyFill="1" applyBorder="1"/>
    <xf numFmtId="0" fontId="2" fillId="0" borderId="1" xfId="0" applyFont="1" applyFill="1" applyBorder="1"/>
    <xf numFmtId="0" fontId="2" fillId="0" borderId="3" xfId="0" applyFont="1" applyFill="1" applyBorder="1"/>
    <xf numFmtId="0" fontId="2" fillId="0" borderId="8" xfId="0" applyFont="1" applyFill="1" applyBorder="1"/>
    <xf numFmtId="2" fontId="2" fillId="0" borderId="5" xfId="0" applyNumberFormat="1" applyFont="1" applyFill="1" applyBorder="1"/>
    <xf numFmtId="0" fontId="2" fillId="0" borderId="6" xfId="0" applyFont="1" applyFill="1" applyBorder="1" applyAlignment="1">
      <alignment horizontal="right"/>
    </xf>
    <xf numFmtId="0" fontId="2" fillId="0" borderId="7" xfId="0" applyFont="1" applyFill="1" applyBorder="1"/>
    <xf numFmtId="0" fontId="2" fillId="0" borderId="2" xfId="0" applyFont="1" applyBorder="1"/>
    <xf numFmtId="0" fontId="2" fillId="0" borderId="7" xfId="0" applyFont="1" applyBorder="1"/>
    <xf numFmtId="0" fontId="2" fillId="0" borderId="1" xfId="0" applyFont="1" applyBorder="1"/>
    <xf numFmtId="0" fontId="2" fillId="0" borderId="3" xfId="0" applyFont="1" applyBorder="1"/>
    <xf numFmtId="0" fontId="2" fillId="0" borderId="8" xfId="0" applyFont="1" applyBorder="1"/>
    <xf numFmtId="0" fontId="2" fillId="0" borderId="6" xfId="0" applyFont="1" applyBorder="1"/>
    <xf numFmtId="0" fontId="2" fillId="0" borderId="4" xfId="0" applyFont="1" applyBorder="1"/>
    <xf numFmtId="0" fontId="2" fillId="0" borderId="5" xfId="0" applyFont="1" applyBorder="1"/>
    <xf numFmtId="0" fontId="10" fillId="0" borderId="0" xfId="0" applyFont="1"/>
    <xf numFmtId="2" fontId="2" fillId="0" borderId="0" xfId="0" applyNumberFormat="1" applyFont="1"/>
    <xf numFmtId="0" fontId="2" fillId="3" borderId="0" xfId="0" applyFont="1" applyFill="1" applyBorder="1"/>
    <xf numFmtId="0" fontId="2" fillId="3" borderId="1" xfId="0" applyFont="1" applyFill="1" applyBorder="1"/>
    <xf numFmtId="0" fontId="13" fillId="3" borderId="2" xfId="0" applyFont="1" applyFill="1" applyBorder="1"/>
    <xf numFmtId="0" fontId="14" fillId="3" borderId="0" xfId="0" applyFont="1" applyFill="1" applyBorder="1"/>
    <xf numFmtId="0" fontId="2" fillId="3" borderId="0" xfId="0" applyFont="1" applyFill="1"/>
    <xf numFmtId="0" fontId="11" fillId="3" borderId="0" xfId="0" applyFont="1" applyFill="1"/>
    <xf numFmtId="0" fontId="2" fillId="6" borderId="0" xfId="0" applyFont="1" applyFill="1"/>
    <xf numFmtId="0" fontId="2" fillId="5" borderId="0" xfId="0" applyFont="1" applyFill="1"/>
    <xf numFmtId="0" fontId="23" fillId="3" borderId="0" xfId="0" applyFont="1" applyFill="1"/>
    <xf numFmtId="2" fontId="2" fillId="3" borderId="0" xfId="0" applyNumberFormat="1" applyFont="1" applyFill="1"/>
    <xf numFmtId="0" fontId="2" fillId="0" borderId="0" xfId="0" applyFont="1" applyAlignment="1">
      <alignment horizontal="right"/>
    </xf>
    <xf numFmtId="0" fontId="2" fillId="0" borderId="0" xfId="0" applyFont="1" applyAlignment="1">
      <alignment horizontal="left"/>
    </xf>
    <xf numFmtId="0" fontId="2" fillId="7" borderId="0" xfId="0" applyFont="1" applyFill="1"/>
    <xf numFmtId="0" fontId="10" fillId="3" borderId="0" xfId="0" applyFont="1" applyFill="1"/>
    <xf numFmtId="0" fontId="2" fillId="0" borderId="10" xfId="0" applyFont="1" applyBorder="1"/>
    <xf numFmtId="2" fontId="2" fillId="0" borderId="10" xfId="0" applyNumberFormat="1" applyFont="1" applyBorder="1"/>
    <xf numFmtId="0" fontId="2" fillId="4" borderId="10" xfId="0" applyFont="1" applyFill="1" applyBorder="1"/>
    <xf numFmtId="2" fontId="2" fillId="4" borderId="10" xfId="0" applyNumberFormat="1" applyFont="1" applyFill="1" applyBorder="1"/>
    <xf numFmtId="0" fontId="2" fillId="0" borderId="0" xfId="0" quotePrefix="1" applyFont="1" applyAlignment="1">
      <alignment horizontal="center"/>
    </xf>
    <xf numFmtId="2" fontId="2" fillId="0" borderId="4" xfId="0" applyNumberFormat="1" applyFont="1" applyBorder="1"/>
    <xf numFmtId="2" fontId="2" fillId="0" borderId="2" xfId="0" applyNumberFormat="1" applyFont="1" applyBorder="1"/>
    <xf numFmtId="0" fontId="2" fillId="0" borderId="0" xfId="0" applyNumberFormat="1" applyFont="1"/>
    <xf numFmtId="2" fontId="2" fillId="5" borderId="0" xfId="0" applyNumberFormat="1" applyFont="1" applyFill="1"/>
    <xf numFmtId="0" fontId="12" fillId="7" borderId="0" xfId="0" applyFont="1" applyFill="1"/>
    <xf numFmtId="1" fontId="2" fillId="4" borderId="10" xfId="0" applyNumberFormat="1" applyFont="1" applyFill="1" applyBorder="1" applyAlignment="1">
      <alignment horizontal="left"/>
    </xf>
    <xf numFmtId="1" fontId="2" fillId="0" borderId="10" xfId="0" applyNumberFormat="1" applyFont="1" applyBorder="1" applyAlignment="1">
      <alignment horizontal="left"/>
    </xf>
    <xf numFmtId="0" fontId="2" fillId="8" borderId="4" xfId="0" applyFont="1" applyFill="1" applyBorder="1"/>
    <xf numFmtId="0" fontId="2" fillId="8" borderId="6" xfId="0" applyFont="1" applyFill="1" applyBorder="1"/>
    <xf numFmtId="0" fontId="2" fillId="8" borderId="2" xfId="0" applyFont="1" applyFill="1" applyBorder="1"/>
    <xf numFmtId="0" fontId="2" fillId="8" borderId="1" xfId="0" applyFont="1" applyFill="1" applyBorder="1"/>
    <xf numFmtId="0" fontId="2" fillId="8" borderId="7" xfId="0" applyFont="1" applyFill="1" applyBorder="1"/>
    <xf numFmtId="0" fontId="2" fillId="8" borderId="8" xfId="0" applyFont="1" applyFill="1" applyBorder="1"/>
    <xf numFmtId="0" fontId="2" fillId="6" borderId="0" xfId="0" applyFont="1" applyFill="1" applyBorder="1"/>
    <xf numFmtId="0" fontId="13" fillId="6" borderId="0" xfId="0" applyFont="1" applyFill="1" applyBorder="1"/>
    <xf numFmtId="0" fontId="24" fillId="0" borderId="0" xfId="0" applyFont="1" applyFill="1" applyBorder="1"/>
    <xf numFmtId="14" fontId="2" fillId="0" borderId="0" xfId="0" applyNumberFormat="1" applyFont="1"/>
    <xf numFmtId="14" fontId="2" fillId="0" borderId="10" xfId="0" applyNumberFormat="1" applyFont="1" applyBorder="1"/>
    <xf numFmtId="0" fontId="2" fillId="0" borderId="10" xfId="0" applyNumberFormat="1" applyFont="1" applyBorder="1"/>
    <xf numFmtId="14" fontId="2" fillId="4" borderId="10" xfId="0" applyNumberFormat="1" applyFont="1" applyFill="1" applyBorder="1"/>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8" xfId="0" applyFont="1" applyBorder="1" applyAlignment="1">
      <alignment horizontal="center"/>
    </xf>
    <xf numFmtId="0" fontId="2" fillId="4" borderId="10" xfId="0" applyFont="1" applyFill="1" applyBorder="1" applyAlignment="1">
      <alignment horizontal="right"/>
    </xf>
    <xf numFmtId="0" fontId="2" fillId="0" borderId="10" xfId="0" applyFont="1" applyBorder="1" applyAlignment="1">
      <alignment horizontal="right"/>
    </xf>
    <xf numFmtId="0" fontId="2" fillId="3" borderId="0" xfId="0" applyFont="1" applyFill="1" applyAlignment="1">
      <alignment horizontal="left"/>
    </xf>
    <xf numFmtId="0" fontId="2" fillId="4" borderId="11" xfId="0" applyNumberFormat="1" applyFont="1" applyFill="1" applyBorder="1"/>
    <xf numFmtId="0" fontId="2" fillId="4" borderId="12" xfId="0" applyFont="1" applyFill="1" applyBorder="1" applyAlignment="1">
      <alignment horizontal="right"/>
    </xf>
    <xf numFmtId="0" fontId="2" fillId="0" borderId="10" xfId="0" applyFont="1" applyBorder="1" applyAlignment="1">
      <alignment horizontal="center"/>
    </xf>
    <xf numFmtId="2" fontId="2" fillId="0" borderId="10" xfId="0" applyNumberFormat="1" applyFont="1" applyBorder="1" applyAlignment="1">
      <alignment horizontal="center"/>
    </xf>
    <xf numFmtId="0" fontId="2" fillId="5" borderId="0" xfId="0" applyFont="1" applyFill="1" applyAlignment="1">
      <alignment horizontal="right"/>
    </xf>
    <xf numFmtId="0" fontId="2" fillId="0" borderId="2" xfId="0" applyFont="1" applyBorder="1" applyAlignment="1">
      <alignment horizontal="center"/>
    </xf>
    <xf numFmtId="0" fontId="2" fillId="0" borderId="7" xfId="0" applyFont="1" applyBorder="1" applyAlignment="1">
      <alignment horizontal="center"/>
    </xf>
    <xf numFmtId="0" fontId="2" fillId="0" borderId="1" xfId="0" applyFont="1" applyBorder="1" applyAlignment="1"/>
    <xf numFmtId="2" fontId="2" fillId="0" borderId="1" xfId="0" applyNumberFormat="1" applyFont="1" applyBorder="1" applyAlignment="1">
      <alignment horizontal="center"/>
    </xf>
    <xf numFmtId="0" fontId="2" fillId="0" borderId="2" xfId="0" applyFont="1" applyBorder="1" applyAlignment="1"/>
    <xf numFmtId="2" fontId="2" fillId="0" borderId="8" xfId="0" applyNumberFormat="1" applyFont="1" applyBorder="1" applyAlignment="1">
      <alignment horizontal="center"/>
    </xf>
    <xf numFmtId="0" fontId="2" fillId="9" borderId="0" xfId="0" applyFont="1" applyFill="1" applyBorder="1"/>
    <xf numFmtId="0" fontId="2" fillId="9" borderId="0" xfId="0" applyFont="1" applyFill="1" applyBorder="1" applyAlignment="1">
      <alignment horizontal="center"/>
    </xf>
    <xf numFmtId="0" fontId="2" fillId="9" borderId="4" xfId="0" applyFont="1" applyFill="1" applyBorder="1" applyAlignment="1">
      <alignment horizontal="center"/>
    </xf>
    <xf numFmtId="0" fontId="2" fillId="9" borderId="6"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4" xfId="0" applyFont="1" applyFill="1" applyBorder="1"/>
    <xf numFmtId="0" fontId="2" fillId="9" borderId="5" xfId="0" applyFont="1" applyFill="1" applyBorder="1"/>
    <xf numFmtId="0" fontId="2" fillId="9" borderId="5" xfId="0" applyFont="1" applyFill="1" applyBorder="1" applyAlignment="1">
      <alignment horizontal="center"/>
    </xf>
    <xf numFmtId="0" fontId="2" fillId="9" borderId="2" xfId="0" applyFont="1" applyFill="1" applyBorder="1"/>
    <xf numFmtId="0" fontId="2" fillId="9" borderId="7" xfId="0" applyFont="1" applyFill="1" applyBorder="1"/>
    <xf numFmtId="0" fontId="2" fillId="9" borderId="3" xfId="0" applyFont="1" applyFill="1" applyBorder="1"/>
    <xf numFmtId="0" fontId="2" fillId="9" borderId="7" xfId="0" applyFont="1" applyFill="1" applyBorder="1" applyAlignment="1">
      <alignment horizontal="center"/>
    </xf>
    <xf numFmtId="0" fontId="2" fillId="9" borderId="8" xfId="0" applyFont="1" applyFill="1" applyBorder="1" applyAlignment="1">
      <alignment horizontal="center"/>
    </xf>
    <xf numFmtId="0" fontId="2" fillId="9" borderId="3" xfId="0" applyFont="1" applyFill="1" applyBorder="1" applyAlignment="1">
      <alignment horizontal="center"/>
    </xf>
    <xf numFmtId="2" fontId="2" fillId="9" borderId="6" xfId="0" applyNumberFormat="1" applyFont="1" applyFill="1" applyBorder="1" applyAlignment="1">
      <alignment horizontal="center"/>
    </xf>
    <xf numFmtId="2" fontId="2" fillId="9" borderId="1" xfId="0" applyNumberFormat="1" applyFont="1" applyFill="1" applyBorder="1" applyAlignment="1">
      <alignment horizontal="center"/>
    </xf>
    <xf numFmtId="2" fontId="2" fillId="9" borderId="8" xfId="0" applyNumberFormat="1" applyFont="1" applyFill="1" applyBorder="1" applyAlignment="1">
      <alignment horizontal="center"/>
    </xf>
    <xf numFmtId="2" fontId="10" fillId="3" borderId="0" xfId="0" applyNumberFormat="1" applyFont="1" applyFill="1"/>
    <xf numFmtId="0" fontId="2" fillId="5" borderId="0" xfId="0" applyFont="1" applyFill="1" applyAlignment="1">
      <alignment horizontal="center" vertical="center"/>
    </xf>
    <xf numFmtId="0" fontId="2" fillId="5" borderId="0" xfId="0" applyFont="1" applyFill="1" applyAlignment="1">
      <alignment horizontal="center"/>
    </xf>
    <xf numFmtId="2" fontId="2" fillId="5" borderId="0" xfId="0" applyNumberFormat="1" applyFont="1" applyFill="1" applyAlignment="1">
      <alignment horizontal="center"/>
    </xf>
    <xf numFmtId="2" fontId="2" fillId="0" borderId="0" xfId="0" applyNumberFormat="1" applyFont="1" applyAlignment="1">
      <alignment horizontal="right"/>
    </xf>
    <xf numFmtId="1" fontId="2" fillId="0" borderId="0" xfId="0" applyNumberFormat="1" applyFont="1" applyAlignment="1">
      <alignment horizontal="right"/>
    </xf>
    <xf numFmtId="2" fontId="2" fillId="0" borderId="1" xfId="0" applyNumberFormat="1" applyFont="1" applyBorder="1" applyAlignment="1">
      <alignment horizontal="right"/>
    </xf>
    <xf numFmtId="2" fontId="2" fillId="0" borderId="1" xfId="0" applyNumberFormat="1" applyFont="1" applyBorder="1"/>
    <xf numFmtId="2" fontId="2" fillId="9" borderId="1" xfId="0" applyNumberFormat="1" applyFont="1" applyFill="1" applyBorder="1" applyAlignment="1">
      <alignment horizontal="right"/>
    </xf>
    <xf numFmtId="2" fontId="2" fillId="9" borderId="1" xfId="0" applyNumberFormat="1" applyFont="1" applyFill="1" applyBorder="1"/>
    <xf numFmtId="0" fontId="2" fillId="0" borderId="12" xfId="0" applyFont="1" applyBorder="1"/>
    <xf numFmtId="0" fontId="2" fillId="0" borderId="12" xfId="0" applyFont="1" applyBorder="1" applyAlignment="1">
      <alignment horizontal="right"/>
    </xf>
    <xf numFmtId="0" fontId="10" fillId="0" borderId="0" xfId="0" applyFont="1" applyFill="1"/>
    <xf numFmtId="0" fontId="2" fillId="0" borderId="0" xfId="0" applyFont="1" applyFill="1" applyAlignment="1">
      <alignment horizontal="right"/>
    </xf>
    <xf numFmtId="0" fontId="2" fillId="0" borderId="10" xfId="0" applyFont="1" applyFill="1" applyBorder="1" applyAlignment="1">
      <alignment horizontal="center"/>
    </xf>
    <xf numFmtId="49" fontId="2" fillId="9" borderId="2" xfId="0" applyNumberFormat="1" applyFont="1" applyFill="1" applyBorder="1" applyAlignment="1">
      <alignment horizontal="center"/>
    </xf>
    <xf numFmtId="49" fontId="2" fillId="0" borderId="2" xfId="0" applyNumberFormat="1"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49" fontId="2" fillId="9" borderId="16" xfId="0" applyNumberFormat="1" applyFont="1" applyFill="1" applyBorder="1" applyAlignment="1">
      <alignment horizontal="center"/>
    </xf>
    <xf numFmtId="2" fontId="2" fillId="9" borderId="17" xfId="0" applyNumberFormat="1" applyFont="1" applyFill="1" applyBorder="1"/>
    <xf numFmtId="49" fontId="2" fillId="0" borderId="16" xfId="0" applyNumberFormat="1" applyFont="1" applyBorder="1" applyAlignment="1">
      <alignment horizontal="center"/>
    </xf>
    <xf numFmtId="2" fontId="2" fillId="0" borderId="17" xfId="0" applyNumberFormat="1" applyFont="1" applyBorder="1"/>
    <xf numFmtId="49" fontId="2" fillId="0" borderId="18" xfId="0" applyNumberFormat="1" applyFont="1" applyBorder="1" applyAlignment="1">
      <alignment horizontal="center"/>
    </xf>
    <xf numFmtId="2" fontId="2" fillId="0" borderId="19" xfId="0" applyNumberFormat="1" applyFont="1" applyBorder="1" applyAlignment="1">
      <alignment horizontal="right"/>
    </xf>
    <xf numFmtId="49" fontId="2" fillId="0" borderId="20" xfId="0" applyNumberFormat="1" applyFont="1" applyBorder="1" applyAlignment="1">
      <alignment horizontal="center"/>
    </xf>
    <xf numFmtId="2" fontId="2" fillId="0" borderId="19" xfId="0" applyNumberFormat="1" applyFont="1" applyBorder="1"/>
    <xf numFmtId="2" fontId="2" fillId="0" borderId="21" xfId="0" applyNumberFormat="1" applyFont="1" applyBorder="1"/>
    <xf numFmtId="2" fontId="2" fillId="0" borderId="8" xfId="0" applyNumberFormat="1" applyFont="1" applyBorder="1" applyAlignment="1">
      <alignment horizontal="right"/>
    </xf>
    <xf numFmtId="0" fontId="10" fillId="0" borderId="4" xfId="0" applyFont="1" applyBorder="1"/>
    <xf numFmtId="0" fontId="10" fillId="0" borderId="5" xfId="0" applyFont="1" applyBorder="1"/>
    <xf numFmtId="2" fontId="2" fillId="0" borderId="0" xfId="0" applyNumberFormat="1" applyFont="1" applyBorder="1" applyAlignment="1">
      <alignment horizontal="right"/>
    </xf>
    <xf numFmtId="0" fontId="10" fillId="0" borderId="3" xfId="0" applyFont="1" applyBorder="1"/>
    <xf numFmtId="0" fontId="10" fillId="0" borderId="0" xfId="0" applyFont="1" applyBorder="1"/>
    <xf numFmtId="2" fontId="2" fillId="0" borderId="8" xfId="0" applyNumberFormat="1" applyFont="1" applyBorder="1"/>
    <xf numFmtId="2" fontId="2" fillId="0" borderId="0" xfId="0" applyNumberFormat="1" applyFont="1" applyBorder="1"/>
    <xf numFmtId="2" fontId="2" fillId="0" borderId="3" xfId="0" applyNumberFormat="1" applyFont="1" applyBorder="1" applyAlignment="1">
      <alignment horizontal="right"/>
    </xf>
    <xf numFmtId="0" fontId="2" fillId="10" borderId="0" xfId="0" applyFont="1" applyFill="1"/>
    <xf numFmtId="0" fontId="2" fillId="11" borderId="0" xfId="0" applyFont="1" applyFill="1"/>
    <xf numFmtId="0" fontId="2" fillId="0" borderId="8" xfId="0" applyFont="1" applyBorder="1" applyAlignment="1">
      <alignment horizontal="right"/>
    </xf>
    <xf numFmtId="164" fontId="2" fillId="0" borderId="0" xfId="0" applyNumberFormat="1" applyFont="1" applyFill="1"/>
    <xf numFmtId="0" fontId="10" fillId="0" borderId="6" xfId="0" applyFont="1" applyBorder="1"/>
    <xf numFmtId="0" fontId="2" fillId="0" borderId="0" xfId="0" applyFont="1" applyBorder="1" applyAlignment="1">
      <alignment horizontal="right"/>
    </xf>
    <xf numFmtId="2" fontId="2" fillId="0" borderId="3" xfId="0" applyNumberFormat="1" applyFont="1" applyBorder="1"/>
    <xf numFmtId="0" fontId="2" fillId="12" borderId="2" xfId="0" applyFont="1" applyFill="1" applyBorder="1"/>
    <xf numFmtId="0" fontId="2" fillId="12" borderId="0" xfId="0" applyFont="1" applyFill="1" applyBorder="1"/>
    <xf numFmtId="2" fontId="2" fillId="12" borderId="0" xfId="0" applyNumberFormat="1" applyFont="1" applyFill="1" applyBorder="1" applyAlignment="1">
      <alignment horizontal="right"/>
    </xf>
    <xf numFmtId="0" fontId="2" fillId="12" borderId="1" xfId="0" applyFont="1" applyFill="1" applyBorder="1"/>
    <xf numFmtId="0" fontId="2" fillId="12" borderId="0" xfId="0" applyFont="1" applyFill="1" applyBorder="1" applyAlignment="1">
      <alignment horizontal="right"/>
    </xf>
    <xf numFmtId="2" fontId="2" fillId="12" borderId="0" xfId="0" applyNumberFormat="1" applyFont="1" applyFill="1" applyBorder="1"/>
    <xf numFmtId="0" fontId="2" fillId="4" borderId="0" xfId="0" applyFont="1" applyFill="1"/>
    <xf numFmtId="0" fontId="2" fillId="13" borderId="0" xfId="0" applyFont="1" applyFill="1"/>
    <xf numFmtId="2" fontId="31" fillId="8" borderId="1" xfId="0" applyNumberFormat="1" applyFont="1" applyFill="1" applyBorder="1"/>
    <xf numFmtId="0" fontId="31" fillId="8" borderId="5" xfId="0" applyFont="1" applyFill="1" applyBorder="1"/>
    <xf numFmtId="2" fontId="31" fillId="8" borderId="6" xfId="0" applyNumberFormat="1" applyFont="1" applyFill="1" applyBorder="1"/>
    <xf numFmtId="0" fontId="31" fillId="8" borderId="0" xfId="0" applyFont="1" applyFill="1" applyBorder="1"/>
    <xf numFmtId="0" fontId="31" fillId="8" borderId="1" xfId="0" applyFont="1" applyFill="1" applyBorder="1"/>
    <xf numFmtId="0" fontId="31" fillId="8" borderId="3" xfId="0" applyFont="1" applyFill="1" applyBorder="1"/>
    <xf numFmtId="2" fontId="31" fillId="8" borderId="8" xfId="0" applyNumberFormat="1" applyFont="1" applyFill="1" applyBorder="1"/>
    <xf numFmtId="0" fontId="31" fillId="8" borderId="2" xfId="0" applyFont="1" applyFill="1" applyBorder="1"/>
    <xf numFmtId="2" fontId="2" fillId="5" borderId="10" xfId="0" applyNumberFormat="1" applyFont="1" applyFill="1" applyBorder="1"/>
    <xf numFmtId="0" fontId="1" fillId="0" borderId="0" xfId="0" applyFont="1" applyProtection="1"/>
    <xf numFmtId="0" fontId="1" fillId="0" borderId="0" xfId="0" applyFont="1" applyAlignment="1" applyProtection="1">
      <alignment horizontal="left"/>
    </xf>
    <xf numFmtId="0" fontId="4" fillId="0" borderId="0" xfId="0" applyFont="1" applyBorder="1" applyAlignment="1" applyProtection="1">
      <alignment horizontal="center"/>
    </xf>
    <xf numFmtId="0" fontId="1" fillId="0" borderId="0" xfId="0" applyFont="1" applyBorder="1" applyProtection="1"/>
    <xf numFmtId="0" fontId="4" fillId="0" borderId="0" xfId="0" applyFont="1" applyBorder="1" applyProtection="1"/>
    <xf numFmtId="0" fontId="4" fillId="0" borderId="0" xfId="0" applyFont="1" applyBorder="1" applyAlignment="1" applyProtection="1">
      <alignment horizontal="left"/>
    </xf>
    <xf numFmtId="0" fontId="5" fillId="0" borderId="0" xfId="0" applyFont="1" applyBorder="1" applyAlignment="1" applyProtection="1">
      <alignment horizontal="center"/>
    </xf>
    <xf numFmtId="0" fontId="1"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xf>
    <xf numFmtId="0" fontId="3"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3" fillId="2" borderId="0" xfId="0" applyFont="1" applyFill="1" applyProtection="1">
      <protection locked="0"/>
    </xf>
    <xf numFmtId="0" fontId="2" fillId="14" borderId="0" xfId="0" applyFont="1" applyFill="1"/>
    <xf numFmtId="2" fontId="2" fillId="14" borderId="0" xfId="0" applyNumberFormat="1" applyFont="1" applyFill="1"/>
    <xf numFmtId="0" fontId="2" fillId="0" borderId="0" xfId="0" applyFont="1" applyAlignment="1">
      <alignment horizontal="right"/>
    </xf>
    <xf numFmtId="0" fontId="8" fillId="14" borderId="10" xfId="0" applyFont="1" applyFill="1" applyBorder="1"/>
    <xf numFmtId="2" fontId="2" fillId="0" borderId="6" xfId="0" applyNumberFormat="1" applyFont="1" applyBorder="1"/>
    <xf numFmtId="0" fontId="8" fillId="14" borderId="0" xfId="0" applyFont="1" applyFill="1" applyBorder="1"/>
    <xf numFmtId="0" fontId="18" fillId="14" borderId="0" xfId="0" applyFont="1" applyFill="1" applyBorder="1"/>
    <xf numFmtId="0" fontId="8" fillId="14" borderId="0" xfId="0" applyFont="1" applyFill="1" applyBorder="1" applyAlignment="1"/>
    <xf numFmtId="0" fontId="15" fillId="14" borderId="0" xfId="0" applyFont="1" applyFill="1" applyBorder="1" applyAlignment="1">
      <alignment horizontal="right"/>
    </xf>
    <xf numFmtId="14" fontId="8" fillId="14" borderId="0" xfId="0" applyNumberFormat="1" applyFont="1" applyFill="1" applyBorder="1" applyAlignment="1"/>
    <xf numFmtId="0" fontId="8" fillId="14" borderId="0" xfId="0" applyFont="1" applyFill="1" applyBorder="1" applyAlignment="1">
      <alignment horizontal="left"/>
    </xf>
    <xf numFmtId="0" fontId="16" fillId="14" borderId="0" xfId="0" applyFont="1" applyFill="1" applyBorder="1"/>
    <xf numFmtId="0" fontId="15" fillId="14" borderId="0" xfId="0" applyFont="1" applyFill="1" applyBorder="1" applyAlignment="1">
      <alignment horizontal="left"/>
    </xf>
    <xf numFmtId="0" fontId="41" fillId="14" borderId="0" xfId="0" applyFont="1" applyFill="1" applyBorder="1"/>
    <xf numFmtId="0" fontId="8" fillId="14" borderId="0" xfId="0" applyFont="1" applyFill="1" applyBorder="1" applyAlignment="1">
      <alignment horizontal="right"/>
    </xf>
    <xf numFmtId="0" fontId="36" fillId="14" borderId="0" xfId="0" applyFont="1" applyFill="1" applyBorder="1"/>
    <xf numFmtId="0" fontId="36" fillId="14" borderId="0" xfId="0" applyFont="1" applyFill="1" applyBorder="1" applyAlignment="1"/>
    <xf numFmtId="0" fontId="36" fillId="14" borderId="0" xfId="0" applyFont="1" applyFill="1" applyBorder="1" applyAlignment="1">
      <alignment vertical="center"/>
    </xf>
    <xf numFmtId="0" fontId="15" fillId="14" borderId="0" xfId="0" applyFont="1" applyFill="1" applyBorder="1"/>
    <xf numFmtId="2" fontId="30" fillId="14" borderId="0" xfId="0" applyNumberFormat="1" applyFont="1" applyFill="1" applyBorder="1" applyAlignment="1"/>
    <xf numFmtId="0" fontId="30" fillId="14" borderId="0" xfId="0" applyFont="1" applyFill="1" applyBorder="1"/>
    <xf numFmtId="0" fontId="39" fillId="14" borderId="0" xfId="0" applyFont="1" applyFill="1" applyBorder="1" applyAlignment="1">
      <alignment horizontal="left"/>
    </xf>
    <xf numFmtId="0" fontId="39" fillId="14" borderId="0" xfId="0" applyFont="1" applyFill="1" applyBorder="1"/>
    <xf numFmtId="0" fontId="42" fillId="14" borderId="0" xfId="0" applyFont="1" applyFill="1" applyBorder="1"/>
    <xf numFmtId="0" fontId="30" fillId="14" borderId="0" xfId="0" applyFont="1" applyFill="1" applyBorder="1" applyAlignment="1">
      <alignment horizontal="right"/>
    </xf>
    <xf numFmtId="0" fontId="42" fillId="14" borderId="0" xfId="0" applyFont="1" applyFill="1" applyBorder="1" applyAlignment="1"/>
    <xf numFmtId="0" fontId="38" fillId="14" borderId="0" xfId="0" applyFont="1" applyFill="1" applyBorder="1" applyAlignment="1">
      <alignment wrapText="1"/>
    </xf>
    <xf numFmtId="0" fontId="38" fillId="14" borderId="0" xfId="0" applyFont="1" applyFill="1" applyBorder="1" applyAlignment="1">
      <alignment horizontal="right" wrapText="1"/>
    </xf>
    <xf numFmtId="0" fontId="35" fillId="14" borderId="0" xfId="0" quotePrefix="1" applyFont="1" applyFill="1" applyBorder="1" applyAlignment="1"/>
    <xf numFmtId="2" fontId="36" fillId="14" borderId="0" xfId="0" quotePrefix="1" applyNumberFormat="1" applyFont="1" applyFill="1" applyBorder="1" applyAlignment="1"/>
    <xf numFmtId="0" fontId="16" fillId="14" borderId="0" xfId="0" applyFont="1" applyFill="1" applyBorder="1" applyAlignment="1">
      <alignment wrapText="1"/>
    </xf>
    <xf numFmtId="2" fontId="36" fillId="14" borderId="0" xfId="0" quotePrefix="1" applyNumberFormat="1" applyFont="1" applyFill="1" applyBorder="1" applyAlignment="1">
      <alignment horizontal="right"/>
    </xf>
    <xf numFmtId="0" fontId="8" fillId="14" borderId="0" xfId="0" applyFont="1" applyFill="1" applyBorder="1" applyAlignment="1">
      <alignment vertical="top"/>
    </xf>
    <xf numFmtId="0" fontId="8" fillId="14" borderId="0" xfId="0" applyFont="1" applyFill="1" applyBorder="1" applyAlignment="1">
      <alignment vertical="top" wrapText="1"/>
    </xf>
    <xf numFmtId="0" fontId="36" fillId="14" borderId="0" xfId="0" quotePrefix="1" applyFont="1" applyFill="1" applyBorder="1"/>
    <xf numFmtId="0" fontId="35" fillId="14" borderId="0" xfId="0" applyFont="1" applyFill="1" applyBorder="1" applyAlignment="1">
      <alignment horizontal="left"/>
    </xf>
    <xf numFmtId="0" fontId="32" fillId="14" borderId="0" xfId="0" quotePrefix="1" applyFont="1" applyFill="1" applyBorder="1"/>
    <xf numFmtId="0" fontId="8" fillId="14" borderId="0" xfId="0" quotePrefix="1" applyFont="1" applyFill="1" applyBorder="1" applyAlignment="1"/>
    <xf numFmtId="0" fontId="41" fillId="14" borderId="0" xfId="0" quotePrefix="1" applyFont="1" applyFill="1" applyBorder="1" applyAlignment="1"/>
    <xf numFmtId="0" fontId="8" fillId="14" borderId="0" xfId="0" quotePrefix="1" applyFont="1" applyFill="1" applyBorder="1" applyAlignment="1">
      <alignment horizontal="right"/>
    </xf>
    <xf numFmtId="0" fontId="8" fillId="14" borderId="0" xfId="0" quotePrefix="1" applyFont="1" applyFill="1" applyBorder="1"/>
    <xf numFmtId="0" fontId="8" fillId="14" borderId="0" xfId="0" applyFont="1" applyFill="1" applyBorder="1" applyProtection="1">
      <protection locked="0"/>
    </xf>
    <xf numFmtId="2" fontId="8" fillId="14" borderId="0" xfId="0" applyNumberFormat="1" applyFont="1" applyFill="1" applyBorder="1" applyAlignment="1">
      <alignment horizontal="right"/>
    </xf>
    <xf numFmtId="0" fontId="27" fillId="14" borderId="0" xfId="0" quotePrefix="1" applyFont="1" applyFill="1" applyBorder="1" applyAlignment="1"/>
    <xf numFmtId="0" fontId="8" fillId="14" borderId="0" xfId="0" applyFont="1" applyFill="1" applyBorder="1" applyAlignment="1">
      <alignment horizontal="center"/>
    </xf>
    <xf numFmtId="0" fontId="8" fillId="14" borderId="12" xfId="0" applyFont="1" applyFill="1" applyBorder="1"/>
    <xf numFmtId="0" fontId="8" fillId="4" borderId="0" xfId="0" applyFont="1" applyFill="1" applyBorder="1"/>
    <xf numFmtId="0" fontId="16" fillId="4" borderId="0" xfId="0" applyFont="1" applyFill="1" applyBorder="1" applyAlignment="1"/>
    <xf numFmtId="0" fontId="8" fillId="4" borderId="0" xfId="0" applyFont="1" applyFill="1" applyBorder="1" applyAlignment="1"/>
    <xf numFmtId="0" fontId="16" fillId="4" borderId="0" xfId="0" applyFont="1" applyFill="1" applyBorder="1" applyAlignment="1">
      <alignment horizontal="left"/>
    </xf>
    <xf numFmtId="2" fontId="8" fillId="4" borderId="0" xfId="0" applyNumberFormat="1" applyFont="1" applyFill="1" applyBorder="1" applyAlignment="1">
      <alignment horizontal="right"/>
    </xf>
    <xf numFmtId="0" fontId="8" fillId="4" borderId="0" xfId="0" applyFont="1" applyFill="1" applyBorder="1" applyAlignment="1">
      <alignment horizontal="right"/>
    </xf>
    <xf numFmtId="0" fontId="8" fillId="4" borderId="0" xfId="0" applyFont="1" applyFill="1" applyBorder="1" applyAlignment="1">
      <alignment horizontal="left"/>
    </xf>
    <xf numFmtId="0" fontId="16" fillId="4" borderId="0" xfId="0" applyFont="1" applyFill="1" applyBorder="1"/>
    <xf numFmtId="2" fontId="8" fillId="4" borderId="0" xfId="0" applyNumberFormat="1" applyFont="1" applyFill="1" applyBorder="1" applyAlignment="1">
      <alignment horizontal="center"/>
    </xf>
    <xf numFmtId="0" fontId="8" fillId="4" borderId="0" xfId="0" applyFont="1" applyFill="1" applyBorder="1" applyAlignment="1">
      <alignment horizontal="center"/>
    </xf>
    <xf numFmtId="0" fontId="8" fillId="4" borderId="4" xfId="0" applyFont="1" applyFill="1" applyBorder="1"/>
    <xf numFmtId="0" fontId="8" fillId="4" borderId="5" xfId="0" applyFont="1" applyFill="1" applyBorder="1"/>
    <xf numFmtId="0" fontId="16" fillId="4" borderId="5" xfId="0" applyFont="1" applyFill="1" applyBorder="1" applyAlignment="1"/>
    <xf numFmtId="0" fontId="16" fillId="4" borderId="6" xfId="0" applyFont="1" applyFill="1" applyBorder="1" applyAlignment="1"/>
    <xf numFmtId="0" fontId="8" fillId="4" borderId="2" xfId="0" applyFont="1" applyFill="1" applyBorder="1" applyAlignment="1"/>
    <xf numFmtId="0" fontId="8" fillId="4" borderId="1" xfId="0" applyFont="1" applyFill="1" applyBorder="1" applyAlignment="1"/>
    <xf numFmtId="0" fontId="16" fillId="4" borderId="2" xfId="0" applyFont="1" applyFill="1" applyBorder="1" applyAlignment="1"/>
    <xf numFmtId="0" fontId="8" fillId="4" borderId="1" xfId="0" applyFont="1" applyFill="1" applyBorder="1"/>
    <xf numFmtId="0" fontId="27" fillId="4" borderId="2" xfId="0" applyFont="1" applyFill="1" applyBorder="1" applyAlignment="1">
      <alignment horizontal="left"/>
    </xf>
    <xf numFmtId="0" fontId="8" fillId="4" borderId="7" xfId="0" applyFont="1" applyFill="1" applyBorder="1" applyAlignment="1"/>
    <xf numFmtId="0" fontId="8" fillId="4" borderId="3" xfId="0" applyFont="1" applyFill="1" applyBorder="1" applyAlignment="1"/>
    <xf numFmtId="2" fontId="8" fillId="4" borderId="3" xfId="0" applyNumberFormat="1" applyFont="1" applyFill="1" applyBorder="1" applyAlignment="1">
      <alignment horizontal="right"/>
    </xf>
    <xf numFmtId="0" fontId="8" fillId="4" borderId="3" xfId="0" applyFont="1" applyFill="1" applyBorder="1" applyAlignment="1">
      <alignment horizontal="right"/>
    </xf>
    <xf numFmtId="0" fontId="8" fillId="4" borderId="8" xfId="0" applyFont="1" applyFill="1" applyBorder="1" applyAlignment="1"/>
    <xf numFmtId="0" fontId="27" fillId="4" borderId="2" xfId="0" applyFont="1" applyFill="1" applyBorder="1" applyAlignment="1"/>
    <xf numFmtId="0" fontId="16" fillId="4" borderId="1" xfId="0" applyFont="1" applyFill="1" applyBorder="1" applyAlignment="1"/>
    <xf numFmtId="0" fontId="27" fillId="4" borderId="2" xfId="0" applyFont="1" applyFill="1" applyBorder="1" applyAlignment="1">
      <alignment vertical="top"/>
    </xf>
    <xf numFmtId="0" fontId="8" fillId="4" borderId="7" xfId="0" applyFont="1" applyFill="1" applyBorder="1"/>
    <xf numFmtId="0" fontId="8" fillId="4" borderId="2" xfId="0" applyFont="1" applyFill="1" applyBorder="1"/>
    <xf numFmtId="0" fontId="18" fillId="14" borderId="0" xfId="0" applyFont="1" applyFill="1" applyBorder="1" applyAlignment="1">
      <alignment vertical="center"/>
    </xf>
    <xf numFmtId="0" fontId="16" fillId="14" borderId="0" xfId="0" applyFont="1" applyFill="1" applyBorder="1" applyAlignment="1"/>
    <xf numFmtId="0" fontId="33" fillId="14" borderId="0" xfId="0" applyFont="1" applyFill="1" applyBorder="1" applyAlignment="1" applyProtection="1"/>
    <xf numFmtId="0" fontId="19" fillId="14" borderId="0" xfId="0" applyFont="1" applyFill="1" applyBorder="1" applyAlignment="1" applyProtection="1"/>
    <xf numFmtId="0" fontId="30" fillId="14" borderId="0" xfId="0" applyFont="1" applyFill="1" applyBorder="1" applyAlignment="1" applyProtection="1"/>
    <xf numFmtId="0" fontId="20" fillId="14" borderId="0" xfId="0" applyFont="1" applyFill="1" applyBorder="1" applyAlignment="1" applyProtection="1"/>
    <xf numFmtId="0" fontId="18" fillId="14" borderId="0" xfId="0" applyFont="1" applyFill="1" applyBorder="1" applyAlignment="1">
      <alignment horizontal="center" vertical="center"/>
    </xf>
    <xf numFmtId="0" fontId="18" fillId="14" borderId="0" xfId="0" applyFont="1" applyFill="1" applyBorder="1" applyAlignment="1">
      <alignment horizontal="center" vertical="top"/>
    </xf>
    <xf numFmtId="0" fontId="16" fillId="14" borderId="0" xfId="0" applyFont="1" applyFill="1" applyBorder="1" applyAlignment="1">
      <alignment horizontal="left"/>
    </xf>
    <xf numFmtId="0" fontId="9" fillId="14" borderId="0" xfId="0" applyFont="1" applyFill="1" applyBorder="1" applyAlignment="1"/>
    <xf numFmtId="0" fontId="7" fillId="14" borderId="0" xfId="0" applyFont="1" applyFill="1" applyBorder="1" applyAlignment="1"/>
    <xf numFmtId="0" fontId="8" fillId="14" borderId="4" xfId="0" applyFont="1" applyFill="1" applyBorder="1" applyAlignment="1"/>
    <xf numFmtId="0" fontId="8" fillId="14" borderId="5" xfId="0" applyFont="1" applyFill="1" applyBorder="1" applyAlignment="1"/>
    <xf numFmtId="0" fontId="8" fillId="14" borderId="5" xfId="0" applyFont="1" applyFill="1" applyBorder="1"/>
    <xf numFmtId="0" fontId="8" fillId="14" borderId="6" xfId="0" applyFont="1" applyFill="1" applyBorder="1" applyAlignment="1"/>
    <xf numFmtId="0" fontId="8" fillId="14" borderId="2" xfId="0" applyFont="1" applyFill="1" applyBorder="1"/>
    <xf numFmtId="0" fontId="16" fillId="14" borderId="1" xfId="0" applyFont="1" applyFill="1" applyBorder="1" applyAlignment="1"/>
    <xf numFmtId="0" fontId="8" fillId="14" borderId="2" xfId="0" applyFont="1" applyFill="1" applyBorder="1" applyAlignment="1"/>
    <xf numFmtId="0" fontId="8" fillId="14" borderId="1" xfId="0" applyFont="1" applyFill="1" applyBorder="1"/>
    <xf numFmtId="0" fontId="20" fillId="14" borderId="1" xfId="0" applyFont="1" applyFill="1" applyBorder="1" applyAlignment="1" applyProtection="1"/>
    <xf numFmtId="0" fontId="8" fillId="14" borderId="1" xfId="0" applyFont="1" applyFill="1" applyBorder="1" applyAlignment="1"/>
    <xf numFmtId="0" fontId="18" fillId="14" borderId="2" xfId="0" applyFont="1" applyFill="1" applyBorder="1" applyAlignment="1">
      <alignment horizontal="center" vertical="center"/>
    </xf>
    <xf numFmtId="0" fontId="30" fillId="14" borderId="1" xfId="0" applyFont="1" applyFill="1" applyBorder="1" applyAlignment="1" applyProtection="1"/>
    <xf numFmtId="0" fontId="8" fillId="14" borderId="7" xfId="0" applyFont="1" applyFill="1" applyBorder="1" applyAlignment="1"/>
    <xf numFmtId="0" fontId="8" fillId="14" borderId="3" xfId="0" applyFont="1" applyFill="1" applyBorder="1" applyAlignment="1"/>
    <xf numFmtId="0" fontId="8" fillId="14" borderId="3" xfId="0" applyFont="1" applyFill="1" applyBorder="1"/>
    <xf numFmtId="0" fontId="8" fillId="14" borderId="8" xfId="0" applyFont="1" applyFill="1" applyBorder="1" applyAlignment="1"/>
    <xf numFmtId="0" fontId="16" fillId="4" borderId="0" xfId="0" applyFont="1" applyFill="1" applyBorder="1" applyAlignment="1">
      <alignment horizontal="center"/>
    </xf>
    <xf numFmtId="2" fontId="8" fillId="14" borderId="0" xfId="0" applyNumberFormat="1" applyFont="1" applyFill="1" applyBorder="1" applyAlignment="1">
      <alignment horizontal="center"/>
    </xf>
    <xf numFmtId="0" fontId="17" fillId="14" borderId="0" xfId="0" applyFont="1" applyFill="1" applyBorder="1" applyAlignment="1"/>
    <xf numFmtId="0" fontId="8" fillId="8" borderId="0" xfId="0" applyFont="1" applyFill="1" applyBorder="1"/>
    <xf numFmtId="0" fontId="32" fillId="8" borderId="0" xfId="0" applyFont="1" applyFill="1" applyBorder="1" applyAlignment="1">
      <alignment horizontal="left"/>
    </xf>
    <xf numFmtId="0" fontId="16" fillId="8" borderId="0" xfId="0" applyFont="1" applyFill="1" applyBorder="1" applyAlignment="1">
      <alignment horizontal="left"/>
    </xf>
    <xf numFmtId="0" fontId="8" fillId="8" borderId="0" xfId="0" applyFont="1" applyFill="1" applyBorder="1" applyAlignment="1">
      <alignment horizontal="left"/>
    </xf>
    <xf numFmtId="2" fontId="16" fillId="8" borderId="0" xfId="0" applyNumberFormat="1" applyFont="1" applyFill="1" applyBorder="1" applyAlignment="1">
      <alignment horizontal="center"/>
    </xf>
    <xf numFmtId="0" fontId="16" fillId="8" borderId="0" xfId="0" applyFont="1" applyFill="1" applyBorder="1" applyAlignment="1">
      <alignment horizontal="center"/>
    </xf>
    <xf numFmtId="0" fontId="27" fillId="8" borderId="0" xfId="0" applyFont="1" applyFill="1" applyBorder="1" applyAlignment="1">
      <alignment horizontal="left"/>
    </xf>
    <xf numFmtId="2" fontId="8" fillId="8" borderId="0" xfId="0" applyNumberFormat="1" applyFont="1" applyFill="1" applyBorder="1" applyAlignment="1">
      <alignment horizontal="right"/>
    </xf>
    <xf numFmtId="0" fontId="8" fillId="8" borderId="0" xfId="0" applyFont="1" applyFill="1" applyBorder="1" applyAlignment="1">
      <alignment horizontal="right"/>
    </xf>
    <xf numFmtId="0" fontId="20" fillId="14" borderId="0" xfId="0" quotePrefix="1" applyFont="1" applyFill="1" applyBorder="1" applyAlignment="1">
      <alignment horizontal="right"/>
    </xf>
    <xf numFmtId="0" fontId="15" fillId="14" borderId="0" xfId="0" applyFont="1" applyFill="1" applyBorder="1" applyAlignment="1"/>
    <xf numFmtId="0" fontId="8" fillId="8" borderId="0" xfId="0" quotePrefix="1" applyFont="1" applyFill="1" applyBorder="1" applyAlignment="1">
      <alignment horizontal="left"/>
    </xf>
    <xf numFmtId="0" fontId="16" fillId="8" borderId="0" xfId="0" quotePrefix="1" applyFont="1" applyFill="1" applyBorder="1" applyAlignment="1">
      <alignment horizontal="left"/>
    </xf>
    <xf numFmtId="0" fontId="8" fillId="15" borderId="0" xfId="0" applyFont="1" applyFill="1" applyBorder="1"/>
    <xf numFmtId="0" fontId="8" fillId="15" borderId="0" xfId="0" applyFont="1" applyFill="1" applyBorder="1" applyAlignment="1">
      <alignment horizontal="left"/>
    </xf>
    <xf numFmtId="0" fontId="8" fillId="15" borderId="0" xfId="0" applyFont="1" applyFill="1" applyBorder="1" applyAlignment="1"/>
    <xf numFmtId="0" fontId="16" fillId="15" borderId="0" xfId="0" applyFont="1" applyFill="1" applyBorder="1" applyAlignment="1"/>
    <xf numFmtId="0" fontId="19" fillId="15" borderId="0" xfId="0" applyFont="1" applyFill="1" applyBorder="1" applyAlignment="1" applyProtection="1"/>
    <xf numFmtId="0" fontId="20" fillId="15" borderId="0" xfId="0" applyFont="1" applyFill="1" applyBorder="1" applyAlignment="1" applyProtection="1"/>
    <xf numFmtId="0" fontId="16" fillId="15" borderId="0" xfId="0" applyFont="1" applyFill="1" applyBorder="1"/>
    <xf numFmtId="2" fontId="30" fillId="14" borderId="0" xfId="0" applyNumberFormat="1" applyFont="1" applyFill="1" applyBorder="1" applyAlignment="1">
      <alignment horizontal="right" wrapText="1"/>
    </xf>
    <xf numFmtId="0" fontId="27" fillId="14" borderId="0" xfId="0" applyFont="1" applyFill="1" applyBorder="1"/>
    <xf numFmtId="0" fontId="27" fillId="14" borderId="0" xfId="0" quotePrefix="1" applyFont="1" applyFill="1" applyBorder="1" applyAlignment="1">
      <alignment horizontal="right"/>
    </xf>
    <xf numFmtId="0" fontId="8" fillId="4" borderId="5" xfId="0" applyFont="1" applyFill="1" applyBorder="1" applyAlignment="1"/>
    <xf numFmtId="0" fontId="8" fillId="4" borderId="6" xfId="0" applyFont="1" applyFill="1" applyBorder="1"/>
    <xf numFmtId="0" fontId="8" fillId="4" borderId="1" xfId="0" applyFont="1" applyFill="1" applyBorder="1" applyAlignment="1">
      <alignment horizontal="center"/>
    </xf>
    <xf numFmtId="2" fontId="8" fillId="4" borderId="3" xfId="0" applyNumberFormat="1" applyFont="1" applyFill="1" applyBorder="1" applyAlignment="1">
      <alignment horizontal="center"/>
    </xf>
    <xf numFmtId="0" fontId="8" fillId="4" borderId="3" xfId="0" applyFont="1" applyFill="1" applyBorder="1" applyAlignment="1">
      <alignment horizontal="center"/>
    </xf>
    <xf numFmtId="0" fontId="8" fillId="4" borderId="3" xfId="0" applyFont="1" applyFill="1" applyBorder="1"/>
    <xf numFmtId="0" fontId="8" fillId="4" borderId="8" xfId="0" applyFont="1" applyFill="1" applyBorder="1" applyAlignment="1">
      <alignment horizontal="center"/>
    </xf>
    <xf numFmtId="0" fontId="16" fillId="14" borderId="1" xfId="0" applyFont="1" applyFill="1" applyBorder="1" applyAlignment="1">
      <alignment horizontal="left"/>
    </xf>
    <xf numFmtId="0" fontId="15" fillId="14" borderId="2" xfId="0" applyFont="1" applyFill="1" applyBorder="1"/>
    <xf numFmtId="0" fontId="8" fillId="14" borderId="7" xfId="0" applyFont="1" applyFill="1" applyBorder="1"/>
    <xf numFmtId="0" fontId="16" fillId="14" borderId="3" xfId="0" applyFont="1" applyFill="1" applyBorder="1" applyAlignment="1">
      <alignment horizontal="left"/>
    </xf>
    <xf numFmtId="0" fontId="16" fillId="14" borderId="8" xfId="0" applyFont="1" applyFill="1" applyBorder="1" applyAlignment="1">
      <alignment horizontal="left"/>
    </xf>
    <xf numFmtId="0" fontId="8" fillId="15" borderId="1" xfId="0" applyFont="1" applyFill="1" applyBorder="1" applyAlignment="1"/>
    <xf numFmtId="0" fontId="8" fillId="15" borderId="2" xfId="0" applyFont="1" applyFill="1" applyBorder="1"/>
    <xf numFmtId="0" fontId="8" fillId="15" borderId="1" xfId="0" applyFont="1" applyFill="1" applyBorder="1"/>
    <xf numFmtId="0" fontId="8" fillId="15" borderId="7" xfId="0" applyFont="1" applyFill="1" applyBorder="1" applyAlignment="1"/>
    <xf numFmtId="0" fontId="8" fillId="15" borderId="3" xfId="0" applyFont="1" applyFill="1" applyBorder="1" applyAlignment="1"/>
    <xf numFmtId="0" fontId="8" fillId="15" borderId="3" xfId="0" applyFont="1" applyFill="1" applyBorder="1"/>
    <xf numFmtId="2" fontId="30" fillId="15" borderId="3" xfId="0" applyNumberFormat="1" applyFont="1" applyFill="1" applyBorder="1" applyAlignment="1">
      <alignment horizontal="right" wrapText="1"/>
    </xf>
    <xf numFmtId="0" fontId="8" fillId="15" borderId="8" xfId="0" applyFont="1" applyFill="1" applyBorder="1" applyAlignment="1"/>
    <xf numFmtId="0" fontId="18" fillId="15" borderId="4" xfId="0" applyFont="1" applyFill="1" applyBorder="1" applyAlignment="1">
      <alignment horizontal="center" vertical="center"/>
    </xf>
    <xf numFmtId="0" fontId="18" fillId="15" borderId="5" xfId="0" applyFont="1" applyFill="1" applyBorder="1" applyAlignment="1">
      <alignment horizontal="center" vertical="center"/>
    </xf>
    <xf numFmtId="0" fontId="8" fillId="15" borderId="5" xfId="0" applyFont="1" applyFill="1" applyBorder="1"/>
    <xf numFmtId="0" fontId="16" fillId="15" borderId="5" xfId="0" applyFont="1" applyFill="1" applyBorder="1" applyAlignment="1">
      <alignment horizontal="left"/>
    </xf>
    <xf numFmtId="0" fontId="8" fillId="15" borderId="5" xfId="0" applyFont="1" applyFill="1" applyBorder="1" applyAlignment="1">
      <alignment horizontal="left"/>
    </xf>
    <xf numFmtId="0" fontId="8" fillId="15" borderId="5" xfId="0" applyFont="1" applyFill="1" applyBorder="1" applyAlignment="1"/>
    <xf numFmtId="0" fontId="8" fillId="15" borderId="6" xfId="0" applyFont="1" applyFill="1" applyBorder="1" applyAlignment="1"/>
    <xf numFmtId="0" fontId="8" fillId="15" borderId="4" xfId="0" applyFont="1" applyFill="1" applyBorder="1" applyAlignment="1"/>
    <xf numFmtId="2" fontId="8" fillId="15" borderId="3" xfId="0" applyNumberFormat="1" applyFont="1" applyFill="1" applyBorder="1" applyAlignment="1">
      <alignment horizontal="right"/>
    </xf>
    <xf numFmtId="0" fontId="43" fillId="14" borderId="0" xfId="0" applyFont="1" applyFill="1" applyBorder="1"/>
    <xf numFmtId="0" fontId="43" fillId="14" borderId="0" xfId="0" applyFont="1" applyFill="1" applyBorder="1" applyAlignment="1"/>
    <xf numFmtId="0" fontId="8" fillId="4" borderId="4" xfId="0" applyFont="1" applyFill="1" applyBorder="1" applyAlignment="1">
      <alignment horizontal="center"/>
    </xf>
    <xf numFmtId="0" fontId="44" fillId="14" borderId="0" xfId="0" applyFont="1" applyFill="1" applyBorder="1" applyAlignment="1">
      <alignment horizontal="left" vertical="center"/>
    </xf>
    <xf numFmtId="0" fontId="2" fillId="0" borderId="0" xfId="0" applyFont="1" applyAlignment="1">
      <alignment horizontal="right"/>
    </xf>
    <xf numFmtId="49" fontId="2" fillId="0" borderId="0" xfId="0" applyNumberFormat="1" applyFont="1" applyFill="1"/>
    <xf numFmtId="49" fontId="2" fillId="9" borderId="0" xfId="0" applyNumberFormat="1" applyFont="1" applyFill="1" applyBorder="1" applyAlignment="1">
      <alignment horizontal="center"/>
    </xf>
    <xf numFmtId="0" fontId="2" fillId="0" borderId="22" xfId="0" applyFont="1" applyBorder="1" applyAlignment="1">
      <alignment horizontal="center"/>
    </xf>
    <xf numFmtId="0" fontId="2" fillId="0" borderId="16" xfId="0" applyFont="1" applyFill="1" applyBorder="1" applyAlignment="1">
      <alignment horizontal="center"/>
    </xf>
    <xf numFmtId="0" fontId="2" fillId="0" borderId="0" xfId="0" applyFont="1" applyFill="1" applyBorder="1" applyAlignment="1">
      <alignment horizontal="center"/>
    </xf>
    <xf numFmtId="49" fontId="2" fillId="0" borderId="16" xfId="0" applyNumberFormat="1" applyFont="1" applyFill="1" applyBorder="1" applyAlignment="1">
      <alignment horizontal="center"/>
    </xf>
    <xf numFmtId="49" fontId="2" fillId="0" borderId="0" xfId="0" applyNumberFormat="1" applyFont="1" applyFill="1" applyBorder="1" applyAlignment="1">
      <alignment horizontal="center"/>
    </xf>
    <xf numFmtId="0" fontId="0" fillId="0" borderId="0" xfId="0" applyFill="1" applyBorder="1"/>
    <xf numFmtId="2" fontId="2" fillId="9" borderId="0" xfId="0" applyNumberFormat="1" applyFont="1" applyFill="1" applyBorder="1"/>
    <xf numFmtId="2" fontId="2" fillId="0" borderId="22" xfId="0" applyNumberFormat="1" applyFont="1" applyBorder="1"/>
    <xf numFmtId="0" fontId="2" fillId="9" borderId="10" xfId="0" applyNumberFormat="1" applyFont="1" applyFill="1" applyBorder="1"/>
    <xf numFmtId="0" fontId="45" fillId="0" borderId="0" xfId="0" applyFont="1" applyFill="1" applyProtection="1"/>
    <xf numFmtId="0" fontId="1" fillId="0" borderId="0" xfId="0" applyFont="1" applyFill="1" applyProtection="1"/>
    <xf numFmtId="0" fontId="1" fillId="0" borderId="0" xfId="0" applyFont="1" applyFill="1" applyAlignment="1" applyProtection="1">
      <alignment horizontal="left"/>
    </xf>
    <xf numFmtId="0" fontId="2" fillId="0" borderId="0" xfId="0" applyFont="1" applyAlignment="1">
      <alignment horizontal="right"/>
    </xf>
    <xf numFmtId="2" fontId="2" fillId="0" borderId="5" xfId="0" applyNumberFormat="1" applyFont="1" applyBorder="1"/>
    <xf numFmtId="0" fontId="2" fillId="0" borderId="2" xfId="0" applyFont="1" applyBorder="1" applyAlignment="1">
      <alignment horizontal="left"/>
    </xf>
    <xf numFmtId="2" fontId="2" fillId="0" borderId="5" xfId="0" applyNumberFormat="1" applyFont="1" applyBorder="1" applyAlignment="1">
      <alignment horizontal="right"/>
    </xf>
    <xf numFmtId="0" fontId="2" fillId="14" borderId="10" xfId="0" applyFont="1" applyFill="1" applyBorder="1"/>
    <xf numFmtId="0" fontId="2" fillId="16" borderId="10" xfId="0" applyFont="1" applyFill="1" applyBorder="1"/>
    <xf numFmtId="0" fontId="23" fillId="3" borderId="0" xfId="0" applyFont="1" applyFill="1" applyAlignment="1"/>
    <xf numFmtId="0" fontId="2" fillId="3" borderId="0" xfId="0" applyFont="1" applyFill="1" applyAlignment="1"/>
    <xf numFmtId="0" fontId="8" fillId="14" borderId="0" xfId="0" applyFont="1" applyFill="1"/>
    <xf numFmtId="0" fontId="32" fillId="14" borderId="0" xfId="0" applyFont="1" applyFill="1"/>
    <xf numFmtId="0" fontId="36" fillId="14" borderId="0" xfId="0" applyFont="1" applyFill="1"/>
    <xf numFmtId="0" fontId="46" fillId="14" borderId="0" xfId="0" applyFont="1" applyFill="1"/>
    <xf numFmtId="0" fontId="36" fillId="14" borderId="0" xfId="0" applyFont="1" applyFill="1" applyAlignment="1"/>
    <xf numFmtId="0" fontId="36" fillId="14" borderId="0" xfId="0" applyFont="1" applyFill="1" applyAlignment="1">
      <alignment horizontal="right"/>
    </xf>
    <xf numFmtId="0" fontId="16" fillId="14" borderId="0" xfId="0" applyFont="1" applyFill="1"/>
    <xf numFmtId="0" fontId="8" fillId="14" borderId="0" xfId="0" applyFont="1" applyFill="1" applyAlignment="1"/>
    <xf numFmtId="0" fontId="16" fillId="14" borderId="0" xfId="0" applyFont="1" applyFill="1" applyAlignment="1"/>
    <xf numFmtId="0" fontId="8" fillId="9" borderId="4" xfId="0" applyFont="1" applyFill="1" applyBorder="1"/>
    <xf numFmtId="0" fontId="8" fillId="9" borderId="5" xfId="0" applyFont="1" applyFill="1" applyBorder="1"/>
    <xf numFmtId="0" fontId="8" fillId="9" borderId="6" xfId="0" applyFont="1" applyFill="1" applyBorder="1"/>
    <xf numFmtId="0" fontId="8" fillId="9" borderId="2" xfId="0" applyFont="1" applyFill="1" applyBorder="1"/>
    <xf numFmtId="0" fontId="8" fillId="9" borderId="0" xfId="0" applyFont="1" applyFill="1" applyBorder="1"/>
    <xf numFmtId="0" fontId="8" fillId="9" borderId="1" xfId="0" applyFont="1" applyFill="1" applyBorder="1"/>
    <xf numFmtId="0" fontId="8" fillId="9" borderId="7" xfId="0" applyFont="1" applyFill="1" applyBorder="1"/>
    <xf numFmtId="0" fontId="8" fillId="9" borderId="3" xfId="0" applyFont="1" applyFill="1" applyBorder="1"/>
    <xf numFmtId="0" fontId="8" fillId="9" borderId="8" xfId="0" applyFont="1" applyFill="1" applyBorder="1"/>
    <xf numFmtId="0" fontId="8" fillId="9" borderId="5" xfId="0" applyFont="1" applyFill="1" applyBorder="1" applyAlignment="1"/>
    <xf numFmtId="0" fontId="32" fillId="9" borderId="0" xfId="0" applyFont="1" applyFill="1" applyBorder="1" applyAlignment="1">
      <alignment vertical="center"/>
    </xf>
    <xf numFmtId="2" fontId="36" fillId="14" borderId="0" xfId="0" applyNumberFormat="1" applyFont="1" applyFill="1"/>
    <xf numFmtId="0" fontId="47" fillId="14" borderId="0" xfId="0" applyFont="1" applyFill="1"/>
    <xf numFmtId="0" fontId="47" fillId="14" borderId="0" xfId="0" applyFont="1" applyFill="1" applyAlignment="1"/>
    <xf numFmtId="0" fontId="32" fillId="9" borderId="0" xfId="0" applyFont="1" applyFill="1" applyBorder="1"/>
    <xf numFmtId="0" fontId="36" fillId="14" borderId="0" xfId="0" applyFont="1" applyFill="1" applyBorder="1" applyAlignment="1">
      <alignment horizontal="right"/>
    </xf>
    <xf numFmtId="2" fontId="36" fillId="14" borderId="0" xfId="0" applyNumberFormat="1" applyFont="1" applyFill="1" applyBorder="1" applyAlignment="1"/>
    <xf numFmtId="0" fontId="36" fillId="14" borderId="0" xfId="0" applyFont="1" applyFill="1" applyBorder="1" applyAlignment="1">
      <alignment horizontal="right"/>
    </xf>
    <xf numFmtId="0" fontId="48" fillId="14" borderId="0" xfId="0" applyFont="1" applyFill="1" applyBorder="1" applyAlignment="1"/>
    <xf numFmtId="0" fontId="23" fillId="17" borderId="0" xfId="0" applyFont="1" applyFill="1"/>
    <xf numFmtId="0" fontId="2" fillId="17" borderId="0" xfId="0" applyFont="1" applyFill="1"/>
    <xf numFmtId="2" fontId="36" fillId="14" borderId="0" xfId="0" applyNumberFormat="1" applyFont="1" applyFill="1" applyBorder="1" applyAlignment="1"/>
    <xf numFmtId="0" fontId="36" fillId="14" borderId="0" xfId="0" applyFont="1" applyFill="1" applyBorder="1" applyAlignment="1">
      <alignment horizontal="right"/>
    </xf>
    <xf numFmtId="2" fontId="36" fillId="14" borderId="0" xfId="0" applyNumberFormat="1" applyFont="1" applyFill="1" applyBorder="1" applyAlignment="1">
      <alignment horizontal="right"/>
    </xf>
    <xf numFmtId="2" fontId="36" fillId="14" borderId="0" xfId="0" applyNumberFormat="1" applyFont="1" applyFill="1" applyAlignment="1">
      <alignment horizontal="right"/>
    </xf>
    <xf numFmtId="0" fontId="2" fillId="3" borderId="2" xfId="0" applyFont="1" applyFill="1" applyBorder="1"/>
    <xf numFmtId="0" fontId="10" fillId="3" borderId="2" xfId="0" applyFont="1" applyFill="1" applyBorder="1"/>
    <xf numFmtId="0" fontId="2" fillId="0" borderId="2" xfId="0" applyFont="1" applyBorder="1" applyAlignment="1">
      <alignment vertical="top" wrapText="1"/>
    </xf>
    <xf numFmtId="0" fontId="2" fillId="0" borderId="0" xfId="0" applyFont="1" applyBorder="1" applyAlignment="1">
      <alignment vertical="top" wrapText="1"/>
    </xf>
    <xf numFmtId="0" fontId="2" fillId="5" borderId="2" xfId="0" applyFont="1" applyFill="1" applyBorder="1"/>
    <xf numFmtId="0" fontId="2" fillId="5" borderId="2" xfId="0" applyFont="1" applyFill="1" applyBorder="1" applyAlignment="1">
      <alignment horizontal="right"/>
    </xf>
    <xf numFmtId="0" fontId="2" fillId="0" borderId="0" xfId="0" quotePrefix="1" applyFont="1"/>
    <xf numFmtId="0" fontId="2" fillId="18" borderId="0" xfId="0" applyFont="1" applyFill="1"/>
    <xf numFmtId="164" fontId="2" fillId="18" borderId="0" xfId="0" applyNumberFormat="1" applyFont="1" applyFill="1"/>
    <xf numFmtId="2" fontId="2" fillId="18" borderId="0" xfId="0" applyNumberFormat="1" applyFont="1" applyFill="1"/>
    <xf numFmtId="0" fontId="2" fillId="0" borderId="0" xfId="0" applyFont="1" applyAlignment="1">
      <alignment vertical="top" wrapText="1"/>
    </xf>
    <xf numFmtId="0" fontId="36" fillId="14" borderId="0" xfId="0" applyFont="1" applyFill="1" applyAlignment="1">
      <alignment horizontal="right"/>
    </xf>
    <xf numFmtId="0" fontId="8" fillId="4" borderId="0" xfId="0" applyFont="1" applyFill="1"/>
    <xf numFmtId="0" fontId="36" fillId="14" borderId="0" xfId="0" applyFont="1" applyFill="1" applyBorder="1" applyAlignment="1">
      <alignment horizontal="right"/>
    </xf>
    <xf numFmtId="2" fontId="36" fillId="14" borderId="3" xfId="0" applyNumberFormat="1" applyFont="1" applyFill="1" applyBorder="1" applyAlignment="1">
      <alignment horizontal="right"/>
    </xf>
    <xf numFmtId="0" fontId="36" fillId="14" borderId="3" xfId="0" applyFont="1" applyFill="1" applyBorder="1" applyAlignment="1">
      <alignment horizontal="right"/>
    </xf>
    <xf numFmtId="2" fontId="36" fillId="14" borderId="0" xfId="0" applyNumberFormat="1" applyFont="1" applyFill="1" applyBorder="1" applyAlignment="1">
      <alignment horizontal="right"/>
    </xf>
    <xf numFmtId="0" fontId="48" fillId="14" borderId="0" xfId="0" applyFont="1" applyFill="1" applyBorder="1" applyAlignment="1">
      <alignment horizontal="left" vertical="center"/>
    </xf>
    <xf numFmtId="0" fontId="35" fillId="14" borderId="0" xfId="0" applyFont="1" applyFill="1"/>
    <xf numFmtId="0" fontId="36" fillId="0" borderId="0" xfId="0" applyFont="1" applyFill="1" applyBorder="1"/>
    <xf numFmtId="0" fontId="36" fillId="14" borderId="1" xfId="0" applyFont="1" applyFill="1" applyBorder="1"/>
    <xf numFmtId="0" fontId="36" fillId="14" borderId="2" xfId="0" applyFont="1" applyFill="1" applyBorder="1"/>
    <xf numFmtId="0" fontId="51" fillId="14" borderId="0" xfId="0" applyFont="1" applyFill="1"/>
    <xf numFmtId="0" fontId="36" fillId="14" borderId="0" xfId="0" applyFont="1" applyFill="1" applyBorder="1" applyAlignment="1">
      <alignment horizontal="left"/>
    </xf>
    <xf numFmtId="0" fontId="36" fillId="14" borderId="0" xfId="0" applyFont="1" applyFill="1" applyBorder="1" applyAlignment="1">
      <alignment horizontal="left" vertical="top"/>
    </xf>
    <xf numFmtId="0" fontId="46" fillId="14" borderId="0" xfId="0" applyFont="1" applyFill="1" applyBorder="1"/>
    <xf numFmtId="0" fontId="36" fillId="14" borderId="1" xfId="0" applyFont="1" applyFill="1" applyBorder="1" applyAlignment="1"/>
    <xf numFmtId="0" fontId="36" fillId="14" borderId="0" xfId="0" applyFont="1" applyFill="1" applyBorder="1" applyAlignment="1">
      <alignment horizontal="center"/>
    </xf>
    <xf numFmtId="0" fontId="51" fillId="14" borderId="0" xfId="0" applyFont="1" applyFill="1" applyBorder="1" applyAlignment="1">
      <alignment horizontal="left" vertical="top"/>
    </xf>
    <xf numFmtId="0" fontId="47" fillId="14" borderId="0" xfId="0" applyFont="1" applyFill="1" applyBorder="1" applyAlignment="1"/>
    <xf numFmtId="0" fontId="36" fillId="14" borderId="5" xfId="0" applyFont="1" applyFill="1" applyBorder="1" applyAlignment="1"/>
    <xf numFmtId="0" fontId="36" fillId="14" borderId="5" xfId="0" applyFont="1" applyFill="1" applyBorder="1"/>
    <xf numFmtId="0" fontId="35" fillId="14" borderId="0" xfId="0" applyFont="1" applyFill="1" applyBorder="1" applyAlignment="1"/>
    <xf numFmtId="0" fontId="35" fillId="14" borderId="1" xfId="0" applyFont="1" applyFill="1" applyBorder="1" applyAlignment="1"/>
    <xf numFmtId="0" fontId="36" fillId="14" borderId="2" xfId="0" applyFont="1" applyFill="1" applyBorder="1" applyAlignment="1"/>
    <xf numFmtId="0" fontId="35" fillId="14" borderId="0" xfId="0" applyFont="1" applyFill="1" applyBorder="1"/>
    <xf numFmtId="0" fontId="36" fillId="14" borderId="7" xfId="0" applyFont="1" applyFill="1" applyBorder="1" applyAlignment="1"/>
    <xf numFmtId="0" fontId="36" fillId="14" borderId="3" xfId="0" applyFont="1" applyFill="1" applyBorder="1" applyAlignment="1"/>
    <xf numFmtId="0" fontId="36" fillId="14" borderId="3" xfId="0" applyFont="1" applyFill="1" applyBorder="1"/>
    <xf numFmtId="0" fontId="36" fillId="14" borderId="8" xfId="0" applyFont="1" applyFill="1" applyBorder="1" applyAlignment="1"/>
    <xf numFmtId="2" fontId="36" fillId="14" borderId="0" xfId="0" applyNumberFormat="1" applyFont="1" applyFill="1" applyBorder="1" applyAlignment="1">
      <alignment horizontal="center"/>
    </xf>
    <xf numFmtId="0" fontId="35" fillId="14" borderId="0" xfId="0" applyFont="1" applyFill="1" applyBorder="1" applyAlignment="1">
      <alignment horizontal="left"/>
    </xf>
    <xf numFmtId="0" fontId="36" fillId="8" borderId="0" xfId="0" applyFont="1" applyFill="1" applyBorder="1"/>
    <xf numFmtId="0" fontId="46" fillId="8" borderId="0" xfId="0" applyFont="1" applyFill="1" applyBorder="1" applyAlignment="1">
      <alignment horizontal="left"/>
    </xf>
    <xf numFmtId="0" fontId="35" fillId="8" borderId="0" xfId="0" applyFont="1" applyFill="1" applyBorder="1" applyAlignment="1">
      <alignment horizontal="left"/>
    </xf>
    <xf numFmtId="0" fontId="36" fillId="8" borderId="0" xfId="0" applyFont="1" applyFill="1" applyBorder="1" applyAlignment="1">
      <alignment horizontal="left"/>
    </xf>
    <xf numFmtId="0" fontId="50" fillId="14" borderId="0" xfId="0" applyFont="1" applyFill="1" applyBorder="1" applyAlignment="1"/>
    <xf numFmtId="0" fontId="36" fillId="8" borderId="0" xfId="0" quotePrefix="1" applyFont="1" applyFill="1" applyBorder="1" applyAlignment="1">
      <alignment horizontal="left"/>
    </xf>
    <xf numFmtId="0" fontId="35" fillId="8" borderId="0" xfId="0" quotePrefix="1" applyFont="1" applyFill="1" applyBorder="1" applyAlignment="1">
      <alignment horizontal="left"/>
    </xf>
    <xf numFmtId="2" fontId="36" fillId="8" borderId="0" xfId="0" applyNumberFormat="1" applyFont="1" applyFill="1" applyBorder="1" applyAlignment="1">
      <alignment horizontal="right"/>
    </xf>
    <xf numFmtId="0" fontId="36" fillId="8" borderId="0" xfId="0" applyFont="1" applyFill="1" applyBorder="1" applyAlignment="1">
      <alignment horizontal="right"/>
    </xf>
    <xf numFmtId="16" fontId="36" fillId="14" borderId="0" xfId="0" quotePrefix="1" applyNumberFormat="1" applyFont="1" applyFill="1" applyBorder="1" applyAlignment="1">
      <alignment horizontal="right"/>
    </xf>
    <xf numFmtId="0" fontId="36" fillId="14" borderId="7" xfId="0" applyFont="1" applyFill="1" applyBorder="1"/>
    <xf numFmtId="0" fontId="36" fillId="14" borderId="4" xfId="0" applyFont="1" applyFill="1" applyBorder="1" applyAlignment="1">
      <alignment horizontal="center"/>
    </xf>
    <xf numFmtId="0" fontId="35" fillId="14" borderId="5" xfId="0" applyFont="1" applyFill="1" applyBorder="1" applyAlignment="1"/>
    <xf numFmtId="0" fontId="35" fillId="14" borderId="6" xfId="0" applyFont="1" applyFill="1" applyBorder="1" applyAlignment="1"/>
    <xf numFmtId="0" fontId="36" fillId="14" borderId="4" xfId="0" applyFont="1" applyFill="1" applyBorder="1"/>
    <xf numFmtId="0" fontId="35" fillId="14" borderId="2" xfId="0" applyFont="1" applyFill="1" applyBorder="1" applyAlignment="1"/>
    <xf numFmtId="0" fontId="27" fillId="14" borderId="2" xfId="0" applyFont="1" applyFill="1" applyBorder="1" applyAlignment="1">
      <alignment horizontal="left"/>
    </xf>
    <xf numFmtId="0" fontId="27" fillId="14" borderId="2" xfId="0" applyFont="1" applyFill="1" applyBorder="1" applyAlignment="1"/>
    <xf numFmtId="0" fontId="27" fillId="14" borderId="2" xfId="0" applyFont="1" applyFill="1" applyBorder="1" applyAlignment="1">
      <alignment vertical="top"/>
    </xf>
    <xf numFmtId="0" fontId="27" fillId="14" borderId="0" xfId="0" applyFont="1" applyFill="1" applyBorder="1" applyAlignment="1">
      <alignment vertical="top"/>
    </xf>
    <xf numFmtId="0" fontId="36" fillId="9" borderId="4" xfId="0" applyFont="1" applyFill="1" applyBorder="1" applyAlignment="1"/>
    <xf numFmtId="0" fontId="36" fillId="9" borderId="5" xfId="0" applyFont="1" applyFill="1" applyBorder="1" applyAlignment="1"/>
    <xf numFmtId="0" fontId="36" fillId="9" borderId="5" xfId="0" applyFont="1" applyFill="1" applyBorder="1"/>
    <xf numFmtId="0" fontId="36" fillId="9" borderId="6" xfId="0" applyFont="1" applyFill="1" applyBorder="1" applyAlignment="1"/>
    <xf numFmtId="0" fontId="36" fillId="9" borderId="2" xfId="0" applyFont="1" applyFill="1" applyBorder="1"/>
    <xf numFmtId="0" fontId="36" fillId="9" borderId="0" xfId="0" applyFont="1" applyFill="1" applyBorder="1"/>
    <xf numFmtId="0" fontId="35" fillId="9" borderId="0" xfId="0" applyFont="1" applyFill="1" applyBorder="1" applyAlignment="1">
      <alignment vertical="center"/>
    </xf>
    <xf numFmtId="0" fontId="35" fillId="9" borderId="0" xfId="0" applyFont="1" applyFill="1" applyBorder="1" applyAlignment="1"/>
    <xf numFmtId="0" fontId="35" fillId="9" borderId="1" xfId="0" applyFont="1" applyFill="1" applyBorder="1" applyAlignment="1"/>
    <xf numFmtId="0" fontId="36" fillId="9" borderId="0" xfId="0" applyFont="1" applyFill="1" applyBorder="1" applyAlignment="1"/>
    <xf numFmtId="0" fontId="36" fillId="9" borderId="2" xfId="0" applyFont="1" applyFill="1" applyBorder="1" applyAlignment="1"/>
    <xf numFmtId="0" fontId="53" fillId="9" borderId="0" xfId="0" applyFont="1" applyFill="1" applyBorder="1" applyAlignment="1" applyProtection="1"/>
    <xf numFmtId="0" fontId="54" fillId="9" borderId="0" xfId="0" applyFont="1" applyFill="1" applyBorder="1" applyAlignment="1" applyProtection="1"/>
    <xf numFmtId="0" fontId="55" fillId="9" borderId="0" xfId="0" applyFont="1" applyFill="1" applyBorder="1" applyAlignment="1" applyProtection="1"/>
    <xf numFmtId="0" fontId="56" fillId="9" borderId="0" xfId="0" applyFont="1" applyFill="1" applyBorder="1" applyAlignment="1" applyProtection="1"/>
    <xf numFmtId="0" fontId="56" fillId="9" borderId="1" xfId="0" applyFont="1" applyFill="1" applyBorder="1" applyAlignment="1" applyProtection="1"/>
    <xf numFmtId="0" fontId="36" fillId="9" borderId="1" xfId="0" applyFont="1" applyFill="1" applyBorder="1" applyAlignment="1"/>
    <xf numFmtId="0" fontId="36" fillId="9" borderId="0" xfId="0" applyFont="1" applyFill="1" applyBorder="1" applyAlignment="1">
      <alignment horizontal="left"/>
    </xf>
    <xf numFmtId="0" fontId="35" fillId="9" borderId="2" xfId="0" applyFont="1" applyFill="1" applyBorder="1" applyAlignment="1">
      <alignment horizontal="center" vertical="center"/>
    </xf>
    <xf numFmtId="0" fontId="35" fillId="9" borderId="0" xfId="0" applyFont="1" applyFill="1" applyBorder="1" applyAlignment="1">
      <alignment horizontal="center" vertical="center"/>
    </xf>
    <xf numFmtId="0" fontId="35" fillId="9" borderId="0" xfId="0" applyFont="1" applyFill="1" applyBorder="1" applyAlignment="1">
      <alignment horizontal="center" vertical="top"/>
    </xf>
    <xf numFmtId="0" fontId="35" fillId="9" borderId="0" xfId="0" applyFont="1" applyFill="1" applyBorder="1" applyAlignment="1">
      <alignment horizontal="left"/>
    </xf>
    <xf numFmtId="0" fontId="35" fillId="9" borderId="0" xfId="0" applyFont="1" applyFill="1" applyBorder="1"/>
    <xf numFmtId="0" fontId="55" fillId="9" borderId="1" xfId="0" applyFont="1" applyFill="1" applyBorder="1" applyAlignment="1" applyProtection="1"/>
    <xf numFmtId="0" fontId="36" fillId="9" borderId="7" xfId="0" applyFont="1" applyFill="1" applyBorder="1" applyAlignment="1"/>
    <xf numFmtId="0" fontId="36" fillId="9" borderId="3" xfId="0" applyFont="1" applyFill="1" applyBorder="1" applyAlignment="1"/>
    <xf numFmtId="0" fontId="36" fillId="9" borderId="3" xfId="0" applyFont="1" applyFill="1" applyBorder="1"/>
    <xf numFmtId="0" fontId="36" fillId="9" borderId="8" xfId="0" applyFont="1" applyFill="1" applyBorder="1" applyAlignment="1"/>
    <xf numFmtId="0" fontId="36" fillId="14" borderId="6" xfId="0" applyFont="1" applyFill="1" applyBorder="1"/>
    <xf numFmtId="0" fontId="36" fillId="14" borderId="1" xfId="0" applyFont="1" applyFill="1" applyBorder="1" applyAlignment="1">
      <alignment horizontal="center"/>
    </xf>
    <xf numFmtId="0" fontId="35" fillId="14" borderId="0" xfId="0" applyFont="1" applyFill="1" applyBorder="1" applyAlignment="1">
      <alignment horizontal="center"/>
    </xf>
    <xf numFmtId="2" fontId="36" fillId="14" borderId="3" xfId="0" applyNumberFormat="1" applyFont="1" applyFill="1" applyBorder="1" applyAlignment="1">
      <alignment horizontal="center"/>
    </xf>
    <xf numFmtId="0" fontId="36" fillId="14" borderId="3" xfId="0" applyFont="1" applyFill="1" applyBorder="1" applyAlignment="1">
      <alignment horizontal="center"/>
    </xf>
    <xf numFmtId="0" fontId="36" fillId="14" borderId="8" xfId="0" applyFont="1" applyFill="1" applyBorder="1" applyAlignment="1">
      <alignment horizontal="center"/>
    </xf>
    <xf numFmtId="0" fontId="36" fillId="9" borderId="1" xfId="0" applyFont="1" applyFill="1" applyBorder="1"/>
    <xf numFmtId="0" fontId="49" fillId="9" borderId="0" xfId="0" applyFont="1" applyFill="1" applyBorder="1" applyAlignment="1"/>
    <xf numFmtId="0" fontId="35" fillId="9" borderId="1" xfId="0" applyFont="1" applyFill="1" applyBorder="1" applyAlignment="1">
      <alignment horizontal="left"/>
    </xf>
    <xf numFmtId="0" fontId="50" fillId="9" borderId="2" xfId="0" applyFont="1" applyFill="1" applyBorder="1"/>
    <xf numFmtId="0" fontId="50" fillId="9" borderId="0" xfId="0" applyFont="1" applyFill="1" applyBorder="1"/>
    <xf numFmtId="0" fontId="36" fillId="9" borderId="7" xfId="0" applyFont="1" applyFill="1" applyBorder="1"/>
    <xf numFmtId="0" fontId="35" fillId="9" borderId="3" xfId="0" applyFont="1" applyFill="1" applyBorder="1" applyAlignment="1">
      <alignment horizontal="left"/>
    </xf>
    <xf numFmtId="0" fontId="35" fillId="9" borderId="8" xfId="0" applyFont="1" applyFill="1" applyBorder="1" applyAlignment="1">
      <alignment horizontal="left"/>
    </xf>
    <xf numFmtId="0" fontId="51" fillId="14" borderId="0" xfId="0" applyFont="1" applyFill="1" applyBorder="1"/>
    <xf numFmtId="0" fontId="47" fillId="14" borderId="0" xfId="0" applyFont="1" applyFill="1" applyBorder="1"/>
    <xf numFmtId="2" fontId="36" fillId="14" borderId="0" xfId="0" applyNumberFormat="1" applyFont="1" applyFill="1" applyBorder="1" applyAlignment="1"/>
    <xf numFmtId="0" fontId="36" fillId="14" borderId="0" xfId="0" applyFont="1" applyFill="1" applyBorder="1" applyAlignment="1">
      <alignment horizontal="right"/>
    </xf>
    <xf numFmtId="2" fontId="35" fillId="14" borderId="0" xfId="0" applyNumberFormat="1" applyFont="1" applyFill="1" applyBorder="1" applyAlignment="1">
      <alignment horizontal="right"/>
    </xf>
    <xf numFmtId="0" fontId="35" fillId="9" borderId="0" xfId="0" applyFont="1" applyFill="1" applyBorder="1" applyAlignment="1">
      <alignment horizontal="left"/>
    </xf>
    <xf numFmtId="0" fontId="35" fillId="9" borderId="1" xfId="0" applyFont="1" applyFill="1" applyBorder="1" applyAlignment="1">
      <alignment horizontal="left"/>
    </xf>
    <xf numFmtId="2" fontId="36" fillId="8" borderId="0" xfId="0" applyNumberFormat="1" applyFont="1" applyFill="1" applyBorder="1" applyAlignment="1">
      <alignment horizontal="right"/>
    </xf>
    <xf numFmtId="0" fontId="36" fillId="8" borderId="0" xfId="0" applyFont="1" applyFill="1" applyBorder="1" applyAlignment="1">
      <alignment horizontal="right"/>
    </xf>
    <xf numFmtId="0" fontId="49" fillId="14" borderId="0" xfId="0" applyFont="1" applyFill="1"/>
    <xf numFmtId="0" fontId="35" fillId="14" borderId="0" xfId="0" applyFont="1" applyFill="1" applyAlignment="1"/>
    <xf numFmtId="0" fontId="36" fillId="9" borderId="6" xfId="0" applyFont="1" applyFill="1" applyBorder="1"/>
    <xf numFmtId="0" fontId="36" fillId="9" borderId="8" xfId="0" applyFont="1" applyFill="1" applyBorder="1"/>
    <xf numFmtId="0" fontId="36" fillId="9" borderId="5" xfId="0" applyFont="1" applyFill="1" applyBorder="1" applyAlignment="1">
      <alignment horizontal="center"/>
    </xf>
    <xf numFmtId="0" fontId="36" fillId="9" borderId="0" xfId="0" applyFont="1" applyFill="1" applyBorder="1" applyAlignment="1">
      <alignment horizontal="center"/>
    </xf>
    <xf numFmtId="2" fontId="36" fillId="9" borderId="0" xfId="0" applyNumberFormat="1" applyFont="1" applyFill="1" applyBorder="1" applyAlignment="1">
      <alignment horizontal="center"/>
    </xf>
    <xf numFmtId="0" fontId="36" fillId="9" borderId="3" xfId="0" applyFont="1" applyFill="1" applyBorder="1" applyAlignment="1">
      <alignment horizontal="left" vertical="top" wrapText="1"/>
    </xf>
    <xf numFmtId="0" fontId="49" fillId="14" borderId="0" xfId="0" applyFont="1" applyFill="1" applyBorder="1"/>
    <xf numFmtId="0" fontId="8" fillId="14" borderId="0" xfId="0" applyFont="1" applyFill="1" applyAlignment="1">
      <alignment vertical="top"/>
    </xf>
    <xf numFmtId="2" fontId="35" fillId="8" borderId="0" xfId="0" applyNumberFormat="1" applyFont="1" applyFill="1" applyBorder="1" applyAlignment="1"/>
    <xf numFmtId="2" fontId="36" fillId="14" borderId="0" xfId="0" applyNumberFormat="1" applyFont="1" applyFill="1" applyBorder="1" applyAlignment="1"/>
    <xf numFmtId="0" fontId="36" fillId="14" borderId="0" xfId="0" applyFont="1" applyFill="1" applyBorder="1" applyAlignment="1">
      <alignment horizontal="right"/>
    </xf>
    <xf numFmtId="0" fontId="8" fillId="14" borderId="0" xfId="0" applyFont="1" applyFill="1" applyBorder="1" applyAlignment="1">
      <alignment horizontal="right"/>
    </xf>
    <xf numFmtId="0" fontId="36" fillId="14" borderId="0" xfId="0" applyFont="1" applyFill="1" applyBorder="1" applyAlignment="1">
      <alignment horizontal="left"/>
    </xf>
    <xf numFmtId="0" fontId="36" fillId="14" borderId="0" xfId="0" applyFont="1" applyFill="1" applyBorder="1" applyAlignment="1">
      <alignment horizontal="left" vertical="top"/>
    </xf>
    <xf numFmtId="1" fontId="2" fillId="0" borderId="0" xfId="0" applyNumberFormat="1" applyFont="1"/>
    <xf numFmtId="1" fontId="2" fillId="5" borderId="0" xfId="0" applyNumberFormat="1" applyFont="1" applyFill="1" applyAlignment="1">
      <alignment horizontal="right"/>
    </xf>
    <xf numFmtId="0" fontId="27" fillId="14" borderId="0" xfId="0" applyFont="1" applyFill="1"/>
    <xf numFmtId="2" fontId="35" fillId="14" borderId="0" xfId="0" applyNumberFormat="1" applyFont="1" applyFill="1" applyBorder="1" applyAlignment="1"/>
    <xf numFmtId="0" fontId="59" fillId="0" borderId="0" xfId="0" applyFont="1" applyProtection="1"/>
    <xf numFmtId="0" fontId="2" fillId="0" borderId="0" xfId="0" applyFont="1" applyFill="1" applyBorder="1" applyAlignment="1">
      <alignment vertical="top" wrapText="1"/>
    </xf>
    <xf numFmtId="0" fontId="2" fillId="0" borderId="0" xfId="0" quotePrefix="1" applyFont="1" applyFill="1" applyBorder="1" applyAlignment="1">
      <alignment vertical="top" wrapText="1"/>
    </xf>
    <xf numFmtId="0" fontId="0" fillId="0" borderId="0" xfId="0" applyFont="1" applyFill="1" applyBorder="1" applyAlignment="1">
      <alignment vertical="top" wrapText="1"/>
    </xf>
    <xf numFmtId="0" fontId="0" fillId="0" borderId="0" xfId="0" quotePrefix="1" applyFont="1" applyFill="1" applyBorder="1"/>
    <xf numFmtId="0" fontId="29" fillId="0" borderId="2" xfId="0" applyFont="1" applyBorder="1"/>
    <xf numFmtId="0" fontId="29" fillId="0" borderId="0" xfId="0" applyFont="1"/>
    <xf numFmtId="0" fontId="3" fillId="0" borderId="0" xfId="0" applyFont="1" applyProtection="1"/>
    <xf numFmtId="0" fontId="0" fillId="0" borderId="0" xfId="0" applyAlignment="1">
      <alignment horizontal="left"/>
    </xf>
    <xf numFmtId="0" fontId="0" fillId="0" borderId="0" xfId="0" applyAlignment="1">
      <alignment horizontal="center"/>
    </xf>
    <xf numFmtId="0" fontId="8" fillId="14" borderId="23" xfId="0" applyFont="1" applyFill="1" applyBorder="1" applyAlignment="1" applyProtection="1">
      <protection locked="0"/>
    </xf>
    <xf numFmtId="49" fontId="2" fillId="0" borderId="0" xfId="0" applyNumberFormat="1" applyFont="1"/>
    <xf numFmtId="0" fontId="61" fillId="14" borderId="0" xfId="0" applyFont="1" applyFill="1" applyBorder="1" applyAlignment="1">
      <alignment horizontal="right"/>
    </xf>
    <xf numFmtId="0" fontId="2" fillId="0" borderId="1" xfId="0" applyFont="1" applyFill="1" applyBorder="1" applyAlignment="1">
      <alignment horizontal="center"/>
    </xf>
    <xf numFmtId="49" fontId="2" fillId="21" borderId="16" xfId="0" applyNumberFormat="1" applyFont="1" applyFill="1" applyBorder="1" applyAlignment="1">
      <alignment horizontal="center"/>
    </xf>
    <xf numFmtId="49" fontId="2" fillId="21" borderId="0" xfId="0" applyNumberFormat="1" applyFont="1" applyFill="1" applyBorder="1" applyAlignment="1">
      <alignment horizontal="center"/>
    </xf>
    <xf numFmtId="2" fontId="2" fillId="21" borderId="1" xfId="0" applyNumberFormat="1" applyFont="1" applyFill="1" applyBorder="1" applyAlignment="1">
      <alignment horizontal="center"/>
    </xf>
    <xf numFmtId="2" fontId="2" fillId="0" borderId="1" xfId="0" applyNumberFormat="1" applyFont="1" applyFill="1" applyBorder="1" applyAlignment="1">
      <alignment horizontal="center"/>
    </xf>
    <xf numFmtId="0" fontId="2" fillId="0" borderId="17" xfId="0" applyFont="1" applyFill="1" applyBorder="1" applyAlignment="1">
      <alignment horizontal="center"/>
    </xf>
    <xf numFmtId="2" fontId="2" fillId="21" borderId="17" xfId="0" applyNumberFormat="1" applyFont="1" applyFill="1" applyBorder="1" applyAlignment="1">
      <alignment horizontal="center"/>
    </xf>
    <xf numFmtId="49" fontId="2" fillId="0" borderId="0" xfId="0" applyNumberFormat="1" applyFont="1" applyBorder="1" applyAlignment="1">
      <alignment horizontal="center"/>
    </xf>
    <xf numFmtId="2" fontId="2" fillId="0" borderId="17" xfId="0" applyNumberFormat="1" applyFont="1" applyBorder="1" applyAlignment="1">
      <alignment horizontal="center"/>
    </xf>
    <xf numFmtId="49" fontId="2" fillId="0" borderId="18" xfId="0" applyNumberFormat="1" applyFont="1" applyFill="1" applyBorder="1" applyAlignment="1">
      <alignment horizontal="center"/>
    </xf>
    <xf numFmtId="2" fontId="2" fillId="0" borderId="19" xfId="0" applyNumberFormat="1" applyFont="1" applyFill="1" applyBorder="1" applyAlignment="1">
      <alignment horizontal="center"/>
    </xf>
    <xf numFmtId="49" fontId="2" fillId="0" borderId="22" xfId="0" applyNumberFormat="1" applyFont="1" applyFill="1" applyBorder="1" applyAlignment="1">
      <alignment horizontal="center"/>
    </xf>
    <xf numFmtId="2" fontId="2" fillId="0" borderId="19" xfId="0" applyNumberFormat="1" applyFont="1" applyBorder="1" applyAlignment="1">
      <alignment horizontal="center"/>
    </xf>
    <xf numFmtId="49" fontId="2" fillId="0" borderId="22" xfId="0" applyNumberFormat="1" applyFont="1" applyBorder="1" applyAlignment="1">
      <alignment horizontal="center"/>
    </xf>
    <xf numFmtId="2" fontId="2" fillId="0" borderId="21" xfId="0" applyNumberFormat="1" applyFont="1" applyBorder="1" applyAlignment="1">
      <alignment horizontal="center"/>
    </xf>
    <xf numFmtId="0" fontId="1" fillId="0"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left"/>
      <protection locked="0"/>
    </xf>
    <xf numFmtId="0" fontId="1" fillId="2" borderId="10" xfId="0" applyFont="1" applyFill="1" applyBorder="1" applyAlignment="1" applyProtection="1">
      <alignment vertical="center"/>
      <protection locked="0"/>
    </xf>
    <xf numFmtId="0" fontId="62" fillId="14" borderId="0" xfId="0" applyFont="1" applyFill="1" applyBorder="1"/>
    <xf numFmtId="0" fontId="62" fillId="14" borderId="0" xfId="0" applyFont="1" applyFill="1" applyBorder="1" applyAlignment="1">
      <alignment vertical="center"/>
    </xf>
    <xf numFmtId="0" fontId="62" fillId="14" borderId="0" xfId="0" applyFont="1" applyFill="1" applyBorder="1" applyAlignment="1">
      <alignment horizontal="center" vertical="center"/>
    </xf>
    <xf numFmtId="0" fontId="62" fillId="14" borderId="0" xfId="0" applyFont="1" applyFill="1" applyBorder="1" applyAlignment="1">
      <alignment vertical="center" wrapText="1"/>
    </xf>
    <xf numFmtId="0" fontId="63" fillId="14" borderId="0" xfId="0" applyFont="1" applyFill="1" applyBorder="1" applyAlignment="1"/>
    <xf numFmtId="0" fontId="63" fillId="14" borderId="0" xfId="0" applyFont="1" applyFill="1" applyBorder="1"/>
    <xf numFmtId="0" fontId="64" fillId="14" borderId="1" xfId="0" applyFont="1" applyFill="1" applyBorder="1"/>
    <xf numFmtId="0" fontId="64" fillId="14" borderId="0" xfId="0" applyFont="1" applyFill="1" applyBorder="1"/>
    <xf numFmtId="0" fontId="63" fillId="14" borderId="0" xfId="0" applyFont="1" applyFill="1"/>
    <xf numFmtId="0" fontId="64" fillId="14" borderId="0" xfId="0" applyFont="1" applyFill="1"/>
    <xf numFmtId="0" fontId="63" fillId="14" borderId="1" xfId="0" applyFont="1" applyFill="1" applyBorder="1"/>
    <xf numFmtId="0" fontId="55" fillId="14" borderId="0" xfId="0" applyFont="1" applyFill="1" applyBorder="1" applyAlignment="1">
      <alignment horizontal="right"/>
    </xf>
    <xf numFmtId="2" fontId="16" fillId="14" borderId="0" xfId="0" applyNumberFormat="1" applyFont="1" applyFill="1" applyBorder="1" applyAlignment="1">
      <alignment horizontal="right"/>
    </xf>
    <xf numFmtId="0" fontId="16" fillId="14" borderId="0" xfId="0" applyFont="1" applyFill="1" applyBorder="1" applyAlignment="1">
      <alignment horizontal="right"/>
    </xf>
    <xf numFmtId="0" fontId="23" fillId="22" borderId="0" xfId="0" applyFont="1" applyFill="1"/>
    <xf numFmtId="0" fontId="2" fillId="22" borderId="0" xfId="0" applyFont="1" applyFill="1"/>
    <xf numFmtId="0" fontId="2" fillId="23" borderId="0" xfId="0" applyFont="1" applyFill="1"/>
    <xf numFmtId="2" fontId="2" fillId="23" borderId="0" xfId="0" applyNumberFormat="1" applyFont="1" applyFill="1"/>
    <xf numFmtId="2" fontId="2" fillId="23" borderId="0" xfId="0" quotePrefix="1" applyNumberFormat="1" applyFont="1" applyFill="1"/>
    <xf numFmtId="0" fontId="23" fillId="24" borderId="0" xfId="0" applyFont="1" applyFill="1"/>
    <xf numFmtId="0" fontId="2" fillId="24" borderId="0" xfId="0" applyFont="1" applyFill="1"/>
    <xf numFmtId="0" fontId="2" fillId="25" borderId="0" xfId="0" applyFont="1" applyFill="1"/>
    <xf numFmtId="0" fontId="2" fillId="26" borderId="0" xfId="0" applyFont="1" applyFill="1"/>
    <xf numFmtId="2" fontId="2" fillId="26" borderId="0" xfId="0" applyNumberFormat="1" applyFont="1" applyFill="1"/>
    <xf numFmtId="2" fontId="2" fillId="26" borderId="0" xfId="0" applyNumberFormat="1" applyFont="1" applyFill="1" applyAlignment="1">
      <alignment horizontal="right"/>
    </xf>
    <xf numFmtId="2" fontId="2" fillId="23" borderId="0" xfId="0" applyNumberFormat="1" applyFont="1" applyFill="1" applyAlignment="1">
      <alignment horizontal="right"/>
    </xf>
    <xf numFmtId="0" fontId="2" fillId="23" borderId="0" xfId="0" applyFont="1" applyFill="1" applyAlignment="1">
      <alignment horizontal="right"/>
    </xf>
    <xf numFmtId="0" fontId="2" fillId="23" borderId="4" xfId="0" applyFont="1" applyFill="1" applyBorder="1"/>
    <xf numFmtId="0" fontId="2" fillId="23" borderId="5" xfId="0" applyFont="1" applyFill="1" applyBorder="1"/>
    <xf numFmtId="2" fontId="2" fillId="23" borderId="6" xfId="0" applyNumberFormat="1" applyFont="1" applyFill="1" applyBorder="1"/>
    <xf numFmtId="0" fontId="2" fillId="23" borderId="6" xfId="0" applyFont="1" applyFill="1" applyBorder="1"/>
    <xf numFmtId="0" fontId="2" fillId="23" borderId="2" xfId="0" applyFont="1" applyFill="1" applyBorder="1"/>
    <xf numFmtId="0" fontId="2" fillId="23" borderId="0" xfId="0" applyFont="1" applyFill="1" applyBorder="1"/>
    <xf numFmtId="2" fontId="2" fillId="23" borderId="1" xfId="0" applyNumberFormat="1" applyFont="1" applyFill="1" applyBorder="1"/>
    <xf numFmtId="0" fontId="2" fillId="23" borderId="1" xfId="0" applyFont="1" applyFill="1" applyBorder="1"/>
    <xf numFmtId="0" fontId="2" fillId="23" borderId="1" xfId="0" applyNumberFormat="1" applyFont="1" applyFill="1" applyBorder="1"/>
    <xf numFmtId="0" fontId="2" fillId="23" borderId="7" xfId="0" applyFont="1" applyFill="1" applyBorder="1"/>
    <xf numFmtId="0" fontId="2" fillId="23" borderId="3" xfId="0" applyFont="1" applyFill="1" applyBorder="1"/>
    <xf numFmtId="2" fontId="2" fillId="23" borderId="8" xfId="0" applyNumberFormat="1" applyFont="1" applyFill="1" applyBorder="1"/>
    <xf numFmtId="0" fontId="2" fillId="27" borderId="7" xfId="0" applyFont="1" applyFill="1" applyBorder="1"/>
    <xf numFmtId="0" fontId="2" fillId="27" borderId="3" xfId="0" applyFont="1" applyFill="1" applyBorder="1"/>
    <xf numFmtId="0" fontId="2" fillId="27" borderId="8" xfId="0" applyFont="1" applyFill="1" applyBorder="1"/>
    <xf numFmtId="0" fontId="2" fillId="0" borderId="0" xfId="0" applyFont="1" applyAlignment="1">
      <alignment horizontal="right"/>
    </xf>
    <xf numFmtId="0" fontId="6" fillId="0" borderId="0" xfId="0" applyFont="1" applyAlignment="1" applyProtection="1">
      <alignment horizontal="left"/>
    </xf>
    <xf numFmtId="1" fontId="8" fillId="14" borderId="11" xfId="0" applyNumberFormat="1" applyFont="1" applyFill="1" applyBorder="1" applyAlignment="1">
      <alignment horizontal="center" vertical="center"/>
    </xf>
    <xf numFmtId="1" fontId="8" fillId="14" borderId="9" xfId="0" applyNumberFormat="1" applyFont="1" applyFill="1" applyBorder="1" applyAlignment="1">
      <alignment horizontal="center" vertical="center"/>
    </xf>
    <xf numFmtId="1" fontId="8" fillId="14" borderId="12" xfId="0" applyNumberFormat="1" applyFont="1" applyFill="1" applyBorder="1" applyAlignment="1">
      <alignment horizontal="center" vertical="center"/>
    </xf>
    <xf numFmtId="14" fontId="8" fillId="14" borderId="11" xfId="0" applyNumberFormat="1" applyFont="1" applyFill="1" applyBorder="1" applyAlignment="1">
      <alignment horizontal="center" vertical="center"/>
    </xf>
    <xf numFmtId="14" fontId="8" fillId="14" borderId="9" xfId="0" applyNumberFormat="1" applyFont="1" applyFill="1" applyBorder="1" applyAlignment="1">
      <alignment horizontal="center" vertical="center"/>
    </xf>
    <xf numFmtId="14" fontId="8" fillId="14" borderId="12" xfId="0" applyNumberFormat="1" applyFont="1" applyFill="1" applyBorder="1" applyAlignment="1">
      <alignment horizontal="center" vertical="center"/>
    </xf>
    <xf numFmtId="2" fontId="8" fillId="14" borderId="11" xfId="0" applyNumberFormat="1" applyFont="1" applyFill="1" applyBorder="1" applyAlignment="1">
      <alignment horizontal="right"/>
    </xf>
    <xf numFmtId="2" fontId="8" fillId="14" borderId="9" xfId="0" applyNumberFormat="1" applyFont="1" applyFill="1" applyBorder="1" applyAlignment="1">
      <alignment horizontal="right"/>
    </xf>
    <xf numFmtId="2" fontId="8" fillId="14" borderId="12" xfId="0" applyNumberFormat="1" applyFont="1" applyFill="1" applyBorder="1" applyAlignment="1">
      <alignment horizontal="right"/>
    </xf>
    <xf numFmtId="2" fontId="16" fillId="4" borderId="0" xfId="0" applyNumberFormat="1" applyFont="1" applyFill="1" applyBorder="1" applyAlignment="1">
      <alignment horizontal="right"/>
    </xf>
    <xf numFmtId="0" fontId="16" fillId="4" borderId="0" xfId="0" applyFont="1" applyFill="1" applyBorder="1" applyAlignment="1">
      <alignment horizontal="right"/>
    </xf>
    <xf numFmtId="0" fontId="8" fillId="2" borderId="9"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60" fillId="14" borderId="11" xfId="0" applyFont="1" applyFill="1" applyBorder="1" applyAlignment="1" applyProtection="1">
      <alignment horizontal="left" vertical="center"/>
    </xf>
    <xf numFmtId="0" fontId="60" fillId="14" borderId="9" xfId="0" applyFont="1" applyFill="1" applyBorder="1" applyAlignment="1" applyProtection="1">
      <alignment horizontal="left" vertical="center"/>
    </xf>
    <xf numFmtId="0" fontId="60" fillId="14" borderId="12" xfId="0" applyFont="1" applyFill="1" applyBorder="1" applyAlignment="1" applyProtection="1">
      <alignment horizontal="left" vertical="center"/>
    </xf>
    <xf numFmtId="0" fontId="8" fillId="14" borderId="0" xfId="0" applyFont="1" applyFill="1" applyBorder="1" applyAlignment="1">
      <alignment horizontal="center"/>
    </xf>
    <xf numFmtId="0" fontId="8" fillId="14" borderId="0" xfId="0" quotePrefix="1" applyFont="1" applyFill="1" applyBorder="1" applyAlignment="1">
      <alignment horizontal="center"/>
    </xf>
    <xf numFmtId="0" fontId="30" fillId="14" borderId="0" xfId="0" applyFont="1" applyFill="1" applyBorder="1" applyAlignment="1">
      <alignment horizontal="center"/>
    </xf>
    <xf numFmtId="0" fontId="30" fillId="14" borderId="0" xfId="0" applyFont="1" applyFill="1" applyBorder="1" applyAlignment="1">
      <alignment horizontal="center" wrapText="1"/>
    </xf>
    <xf numFmtId="0" fontId="8" fillId="14" borderId="0" xfId="0" applyFont="1" applyFill="1" applyBorder="1" applyAlignment="1">
      <alignment horizontal="center" vertical="center"/>
    </xf>
    <xf numFmtId="2" fontId="8" fillId="14" borderId="0" xfId="0" applyNumberFormat="1" applyFont="1" applyFill="1" applyBorder="1" applyAlignment="1">
      <alignment horizontal="right"/>
    </xf>
    <xf numFmtId="0" fontId="8" fillId="14" borderId="0" xfId="0" applyFont="1" applyFill="1" applyBorder="1" applyAlignment="1">
      <alignment horizontal="right"/>
    </xf>
    <xf numFmtId="2" fontId="30" fillId="14" borderId="0" xfId="0" applyNumberFormat="1" applyFont="1" applyFill="1" applyBorder="1" applyAlignment="1">
      <alignment horizontal="right" wrapText="1"/>
    </xf>
    <xf numFmtId="0" fontId="30" fillId="14" borderId="0" xfId="0" applyFont="1" applyFill="1" applyBorder="1" applyAlignment="1">
      <alignment horizontal="right" wrapText="1"/>
    </xf>
    <xf numFmtId="0" fontId="8" fillId="2" borderId="11" xfId="0" applyFont="1" applyFill="1" applyBorder="1" applyAlignment="1" applyProtection="1">
      <alignment horizontal="right"/>
      <protection locked="0"/>
    </xf>
    <xf numFmtId="0" fontId="8" fillId="2" borderId="9" xfId="0" applyFont="1" applyFill="1" applyBorder="1" applyAlignment="1" applyProtection="1">
      <alignment horizontal="right"/>
      <protection locked="0"/>
    </xf>
    <xf numFmtId="0" fontId="8" fillId="2" borderId="12" xfId="0" applyFont="1" applyFill="1" applyBorder="1" applyAlignment="1" applyProtection="1">
      <alignment horizontal="right"/>
      <protection locked="0"/>
    </xf>
    <xf numFmtId="0" fontId="8" fillId="2" borderId="11" xfId="0" applyNumberFormat="1" applyFont="1" applyFill="1" applyBorder="1" applyAlignment="1" applyProtection="1">
      <alignment horizontal="right"/>
      <protection locked="0"/>
    </xf>
    <xf numFmtId="0" fontId="8" fillId="2" borderId="9" xfId="0" applyNumberFormat="1" applyFont="1" applyFill="1" applyBorder="1" applyAlignment="1" applyProtection="1">
      <alignment horizontal="right"/>
      <protection locked="0"/>
    </xf>
    <xf numFmtId="0" fontId="8" fillId="2" borderId="12" xfId="0" applyNumberFormat="1" applyFont="1" applyFill="1" applyBorder="1" applyAlignment="1" applyProtection="1">
      <alignment horizontal="right"/>
      <protection locked="0"/>
    </xf>
    <xf numFmtId="2" fontId="8" fillId="2" borderId="11" xfId="0" applyNumberFormat="1" applyFont="1" applyFill="1" applyBorder="1" applyAlignment="1" applyProtection="1">
      <alignment horizontal="right"/>
      <protection locked="0"/>
    </xf>
    <xf numFmtId="2" fontId="8" fillId="2" borderId="9" xfId="0" applyNumberFormat="1" applyFont="1" applyFill="1" applyBorder="1" applyAlignment="1" applyProtection="1">
      <alignment horizontal="right"/>
      <protection locked="0"/>
    </xf>
    <xf numFmtId="2" fontId="8" fillId="2" borderId="12" xfId="0" applyNumberFormat="1" applyFont="1" applyFill="1" applyBorder="1" applyAlignment="1" applyProtection="1">
      <alignment horizontal="right"/>
      <protection locked="0"/>
    </xf>
    <xf numFmtId="2" fontId="27" fillId="14" borderId="11" xfId="0" applyNumberFormat="1" applyFont="1" applyFill="1" applyBorder="1" applyAlignment="1">
      <alignment horizontal="center" vertical="center"/>
    </xf>
    <xf numFmtId="0" fontId="27" fillId="14" borderId="9" xfId="0" applyFont="1" applyFill="1" applyBorder="1" applyAlignment="1">
      <alignment horizontal="center" vertical="center"/>
    </xf>
    <xf numFmtId="0" fontId="27" fillId="14" borderId="12" xfId="0" applyFont="1" applyFill="1" applyBorder="1" applyAlignment="1">
      <alignment horizontal="center" vertical="center"/>
    </xf>
    <xf numFmtId="16" fontId="27" fillId="14" borderId="0" xfId="0" quotePrefix="1" applyNumberFormat="1" applyFont="1" applyFill="1" applyBorder="1" applyAlignment="1">
      <alignment horizontal="right"/>
    </xf>
    <xf numFmtId="2" fontId="30" fillId="15" borderId="0" xfId="0" applyNumberFormat="1" applyFont="1" applyFill="1" applyBorder="1" applyAlignment="1">
      <alignment horizontal="right" wrapText="1"/>
    </xf>
    <xf numFmtId="2" fontId="8" fillId="15" borderId="0" xfId="0" applyNumberFormat="1" applyFont="1" applyFill="1" applyBorder="1" applyAlignment="1">
      <alignment horizontal="right"/>
    </xf>
    <xf numFmtId="2" fontId="8" fillId="8" borderId="0" xfId="0" applyNumberFormat="1" applyFont="1" applyFill="1" applyBorder="1" applyAlignment="1">
      <alignment horizontal="right"/>
    </xf>
    <xf numFmtId="2" fontId="30" fillId="15" borderId="0" xfId="0" applyNumberFormat="1" applyFont="1" applyFill="1" applyBorder="1" applyAlignment="1">
      <alignment horizontal="right"/>
    </xf>
    <xf numFmtId="1" fontId="27" fillId="14" borderId="11" xfId="0" applyNumberFormat="1" applyFont="1" applyFill="1" applyBorder="1" applyAlignment="1">
      <alignment horizontal="center" vertical="center"/>
    </xf>
    <xf numFmtId="1" fontId="27" fillId="14" borderId="9" xfId="0" applyNumberFormat="1" applyFont="1" applyFill="1" applyBorder="1" applyAlignment="1">
      <alignment horizontal="center" vertical="center"/>
    </xf>
    <xf numFmtId="1" fontId="27" fillId="14" borderId="12" xfId="0" applyNumberFormat="1" applyFont="1" applyFill="1" applyBorder="1" applyAlignment="1">
      <alignment horizontal="center" vertical="center"/>
    </xf>
    <xf numFmtId="0" fontId="34" fillId="14" borderId="11" xfId="0" applyFont="1" applyFill="1" applyBorder="1" applyAlignment="1">
      <alignment horizontal="center" vertical="center"/>
    </xf>
    <xf numFmtId="0" fontId="34" fillId="14" borderId="9" xfId="0" applyFont="1" applyFill="1" applyBorder="1" applyAlignment="1">
      <alignment horizontal="center" vertical="center"/>
    </xf>
    <xf numFmtId="0" fontId="34" fillId="14" borderId="12" xfId="0" applyFont="1" applyFill="1" applyBorder="1" applyAlignment="1">
      <alignment horizontal="center" vertical="center"/>
    </xf>
    <xf numFmtId="2" fontId="8" fillId="4" borderId="0" xfId="0" applyNumberFormat="1" applyFont="1" applyFill="1" applyBorder="1" applyAlignment="1">
      <alignment horizontal="right"/>
    </xf>
    <xf numFmtId="0" fontId="8" fillId="4" borderId="0" xfId="0" applyFont="1" applyFill="1" applyBorder="1" applyAlignment="1">
      <alignment horizontal="right"/>
    </xf>
    <xf numFmtId="2" fontId="20" fillId="4" borderId="0" xfId="0" applyNumberFormat="1" applyFont="1" applyFill="1" applyBorder="1" applyAlignment="1">
      <alignment horizontal="right"/>
    </xf>
    <xf numFmtId="0" fontId="20" fillId="4" borderId="0" xfId="0" applyFont="1" applyFill="1" applyBorder="1" applyAlignment="1">
      <alignment horizontal="right"/>
    </xf>
    <xf numFmtId="0" fontId="16" fillId="14" borderId="0" xfId="0" applyFont="1" applyFill="1" applyBorder="1" applyAlignment="1">
      <alignment horizontal="left"/>
    </xf>
    <xf numFmtId="0" fontId="16" fillId="14" borderId="1" xfId="0" applyFont="1" applyFill="1" applyBorder="1" applyAlignment="1">
      <alignment horizontal="left"/>
    </xf>
    <xf numFmtId="0" fontId="8" fillId="8" borderId="0" xfId="0" applyFont="1" applyFill="1" applyBorder="1" applyAlignment="1">
      <alignment horizontal="right"/>
    </xf>
    <xf numFmtId="0" fontId="9" fillId="14" borderId="0" xfId="0" applyFont="1" applyFill="1" applyBorder="1" applyAlignment="1">
      <alignment horizontal="left"/>
    </xf>
    <xf numFmtId="0" fontId="16" fillId="4" borderId="5" xfId="0" applyFont="1" applyFill="1" applyBorder="1" applyAlignment="1">
      <alignment horizontal="center"/>
    </xf>
    <xf numFmtId="0" fontId="27" fillId="2" borderId="11" xfId="0" applyFont="1" applyFill="1" applyBorder="1" applyAlignment="1" applyProtection="1">
      <alignment horizontal="left" vertical="center"/>
      <protection locked="0"/>
    </xf>
    <xf numFmtId="0" fontId="27" fillId="2" borderId="9" xfId="0" applyFont="1" applyFill="1" applyBorder="1" applyAlignment="1" applyProtection="1">
      <alignment horizontal="left" vertical="center"/>
      <protection locked="0"/>
    </xf>
    <xf numFmtId="0" fontId="27" fillId="2" borderId="12" xfId="0" applyFont="1" applyFill="1" applyBorder="1" applyAlignment="1" applyProtection="1">
      <alignment horizontal="left" vertical="center"/>
      <protection locked="0"/>
    </xf>
    <xf numFmtId="0" fontId="8" fillId="2" borderId="11" xfId="0" applyFont="1" applyFill="1" applyBorder="1" applyAlignment="1" applyProtection="1">
      <alignment horizontal="left"/>
      <protection locked="0"/>
    </xf>
    <xf numFmtId="0" fontId="8" fillId="2" borderId="9" xfId="0" applyFont="1" applyFill="1" applyBorder="1" applyAlignment="1" applyProtection="1">
      <alignment horizontal="left"/>
      <protection locked="0"/>
    </xf>
    <xf numFmtId="0" fontId="8" fillId="2" borderId="12" xfId="0" applyFont="1" applyFill="1" applyBorder="1" applyAlignment="1" applyProtection="1">
      <alignment horizontal="left"/>
      <protection locked="0"/>
    </xf>
    <xf numFmtId="2" fontId="39" fillId="14" borderId="0" xfId="0" applyNumberFormat="1" applyFont="1" applyFill="1" applyBorder="1" applyAlignment="1" applyProtection="1">
      <alignment horizontal="right"/>
    </xf>
    <xf numFmtId="0" fontId="38" fillId="14" borderId="0" xfId="0" applyFont="1" applyFill="1" applyBorder="1" applyAlignment="1">
      <alignment horizontal="left" vertical="center" wrapText="1"/>
    </xf>
    <xf numFmtId="0" fontId="32" fillId="20" borderId="0" xfId="0" applyFont="1" applyFill="1" applyBorder="1" applyAlignment="1">
      <alignment horizontal="center" vertical="center" wrapText="1"/>
    </xf>
    <xf numFmtId="2" fontId="36" fillId="14" borderId="0" xfId="0" quotePrefix="1" applyNumberFormat="1" applyFont="1" applyFill="1" applyBorder="1" applyAlignment="1">
      <alignment horizontal="right"/>
    </xf>
    <xf numFmtId="2" fontId="36" fillId="14" borderId="0" xfId="0" applyNumberFormat="1" applyFont="1" applyFill="1" applyBorder="1" applyAlignment="1"/>
    <xf numFmtId="0" fontId="36" fillId="14" borderId="0" xfId="0" applyFont="1" applyFill="1" applyBorder="1" applyAlignment="1">
      <alignment horizontal="right"/>
    </xf>
    <xf numFmtId="0" fontId="40" fillId="14" borderId="0" xfId="0" applyFont="1" applyFill="1" applyBorder="1" applyAlignment="1">
      <alignment horizontal="left"/>
    </xf>
    <xf numFmtId="2" fontId="30" fillId="14" borderId="0" xfId="0" applyNumberFormat="1" applyFont="1" applyFill="1" applyBorder="1" applyAlignment="1">
      <alignment horizontal="right"/>
    </xf>
    <xf numFmtId="0" fontId="30" fillId="14" borderId="0" xfId="0" applyFont="1" applyFill="1" applyBorder="1" applyAlignment="1">
      <alignment horizontal="right"/>
    </xf>
    <xf numFmtId="2" fontId="39" fillId="14" borderId="0" xfId="0" applyNumberFormat="1" applyFont="1" applyFill="1" applyBorder="1" applyAlignment="1" applyProtection="1">
      <alignment horizontal="right"/>
      <protection locked="0"/>
    </xf>
    <xf numFmtId="0" fontId="8" fillId="14" borderId="0" xfId="0" applyFont="1" applyFill="1" applyBorder="1" applyAlignment="1">
      <alignment horizontal="left"/>
    </xf>
    <xf numFmtId="0" fontId="7" fillId="14" borderId="0" xfId="0" applyFont="1" applyFill="1" applyBorder="1" applyAlignment="1">
      <alignment horizontal="left"/>
    </xf>
    <xf numFmtId="0" fontId="8" fillId="2" borderId="11"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14" borderId="11" xfId="0" applyFont="1" applyFill="1" applyBorder="1" applyAlignment="1">
      <alignment horizontal="left" vertical="center"/>
    </xf>
    <xf numFmtId="0" fontId="8" fillId="14" borderId="9" xfId="0" applyFont="1" applyFill="1" applyBorder="1" applyAlignment="1">
      <alignment horizontal="left" vertical="center"/>
    </xf>
    <xf numFmtId="0" fontId="8" fillId="14" borderId="12" xfId="0" applyFont="1" applyFill="1" applyBorder="1" applyAlignment="1">
      <alignment horizontal="left" vertical="center"/>
    </xf>
    <xf numFmtId="14" fontId="8" fillId="2" borderId="11" xfId="0" applyNumberFormat="1" applyFont="1" applyFill="1" applyBorder="1" applyAlignment="1" applyProtection="1">
      <alignment horizontal="right" vertical="center"/>
      <protection locked="0"/>
    </xf>
    <xf numFmtId="14" fontId="8" fillId="2" borderId="9" xfId="0" applyNumberFormat="1" applyFont="1" applyFill="1" applyBorder="1" applyAlignment="1" applyProtection="1">
      <alignment horizontal="right" vertical="center"/>
      <protection locked="0"/>
    </xf>
    <xf numFmtId="14" fontId="8" fillId="2" borderId="12" xfId="0" applyNumberFormat="1" applyFont="1" applyFill="1" applyBorder="1" applyAlignment="1" applyProtection="1">
      <alignment horizontal="right" vertical="center"/>
      <protection locked="0"/>
    </xf>
    <xf numFmtId="0" fontId="8" fillId="14" borderId="11" xfId="0" applyFont="1" applyFill="1" applyBorder="1" applyAlignment="1">
      <alignment horizontal="center" vertical="center"/>
    </xf>
    <xf numFmtId="0" fontId="8" fillId="14" borderId="9" xfId="0" applyFont="1" applyFill="1" applyBorder="1" applyAlignment="1">
      <alignment horizontal="center" vertical="center"/>
    </xf>
    <xf numFmtId="0" fontId="8" fillId="14" borderId="12" xfId="0" applyFont="1" applyFill="1" applyBorder="1" applyAlignment="1">
      <alignment horizontal="center" vertical="center"/>
    </xf>
    <xf numFmtId="14" fontId="8" fillId="2" borderId="11" xfId="0" applyNumberFormat="1" applyFont="1" applyFill="1" applyBorder="1" applyAlignment="1" applyProtection="1">
      <alignment horizontal="right"/>
      <protection locked="0"/>
    </xf>
    <xf numFmtId="14" fontId="8" fillId="2" borderId="9" xfId="0" applyNumberFormat="1" applyFont="1" applyFill="1" applyBorder="1" applyAlignment="1" applyProtection="1">
      <alignment horizontal="right"/>
      <protection locked="0"/>
    </xf>
    <xf numFmtId="14" fontId="8" fillId="2" borderId="12" xfId="0" applyNumberFormat="1" applyFont="1" applyFill="1" applyBorder="1" applyAlignment="1" applyProtection="1">
      <alignment horizontal="right"/>
      <protection locked="0"/>
    </xf>
    <xf numFmtId="0" fontId="36" fillId="14" borderId="0" xfId="0" applyFont="1" applyFill="1" applyAlignment="1">
      <alignment horizontal="left"/>
    </xf>
    <xf numFmtId="2" fontId="36" fillId="14" borderId="0" xfId="0" applyNumberFormat="1" applyFont="1" applyFill="1" applyBorder="1" applyAlignment="1">
      <alignment horizontal="right"/>
    </xf>
    <xf numFmtId="2" fontId="36" fillId="14" borderId="3" xfId="0" applyNumberFormat="1" applyFont="1" applyFill="1" applyBorder="1" applyAlignment="1">
      <alignment horizontal="right"/>
    </xf>
    <xf numFmtId="0" fontId="36" fillId="14" borderId="3" xfId="0" applyFont="1" applyFill="1" applyBorder="1" applyAlignment="1">
      <alignment horizontal="right"/>
    </xf>
    <xf numFmtId="0" fontId="36" fillId="14" borderId="3" xfId="0" applyFont="1" applyFill="1" applyBorder="1" applyAlignment="1">
      <alignment horizontal="left"/>
    </xf>
    <xf numFmtId="0" fontId="36" fillId="14" borderId="3" xfId="0" applyNumberFormat="1" applyFont="1" applyFill="1" applyBorder="1" applyAlignment="1">
      <alignment horizontal="left"/>
    </xf>
    <xf numFmtId="14" fontId="36" fillId="14" borderId="3" xfId="0" applyNumberFormat="1" applyFont="1" applyFill="1" applyBorder="1" applyAlignment="1">
      <alignment horizontal="left"/>
    </xf>
    <xf numFmtId="14" fontId="35" fillId="14" borderId="3" xfId="0" applyNumberFormat="1" applyFont="1" applyFill="1" applyBorder="1" applyAlignment="1">
      <alignment horizontal="right"/>
    </xf>
    <xf numFmtId="0" fontId="35" fillId="14" borderId="3" xfId="0" applyFont="1" applyFill="1" applyBorder="1" applyAlignment="1">
      <alignment horizontal="right"/>
    </xf>
    <xf numFmtId="2" fontId="51" fillId="14" borderId="3" xfId="0" applyNumberFormat="1" applyFont="1" applyFill="1" applyBorder="1" applyAlignment="1">
      <alignment horizontal="right"/>
    </xf>
    <xf numFmtId="0" fontId="51" fillId="14" borderId="3" xfId="0" applyFont="1" applyFill="1" applyBorder="1" applyAlignment="1">
      <alignment horizontal="right"/>
    </xf>
    <xf numFmtId="0" fontId="8" fillId="16" borderId="0" xfId="0" applyFont="1" applyFill="1" applyAlignment="1">
      <alignment horizontal="center"/>
    </xf>
    <xf numFmtId="0" fontId="32" fillId="2" borderId="11" xfId="0" applyFont="1" applyFill="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2" fillId="2" borderId="12" xfId="0" applyFont="1" applyFill="1" applyBorder="1" applyAlignment="1" applyProtection="1">
      <alignment horizontal="center" vertical="center"/>
      <protection locked="0"/>
    </xf>
    <xf numFmtId="0" fontId="8" fillId="14" borderId="0" xfId="0" applyFont="1" applyFill="1" applyAlignment="1" applyProtection="1">
      <alignment horizontal="left" vertical="top" wrapText="1"/>
      <protection locked="0"/>
    </xf>
    <xf numFmtId="2" fontId="16" fillId="14" borderId="0" xfId="0" applyNumberFormat="1" applyFont="1" applyFill="1" applyBorder="1" applyAlignment="1">
      <alignment horizontal="right"/>
    </xf>
    <xf numFmtId="0" fontId="16" fillId="14" borderId="0" xfId="0" applyFont="1" applyFill="1" applyBorder="1" applyAlignment="1">
      <alignment horizontal="right"/>
    </xf>
    <xf numFmtId="0" fontId="57" fillId="14" borderId="11" xfId="0" applyFont="1" applyFill="1" applyBorder="1" applyAlignment="1">
      <alignment horizontal="center" vertical="center"/>
    </xf>
    <xf numFmtId="0" fontId="57" fillId="14" borderId="9" xfId="0" applyFont="1" applyFill="1" applyBorder="1" applyAlignment="1">
      <alignment horizontal="center" vertical="center"/>
    </xf>
    <xf numFmtId="0" fontId="57" fillId="14" borderId="12" xfId="0" applyFont="1" applyFill="1" applyBorder="1" applyAlignment="1">
      <alignment horizontal="center" vertical="center"/>
    </xf>
    <xf numFmtId="0" fontId="43" fillId="14" borderId="11" xfId="0" applyFont="1" applyFill="1" applyBorder="1" applyAlignment="1">
      <alignment horizontal="center" vertical="center"/>
    </xf>
    <xf numFmtId="0" fontId="43" fillId="14" borderId="9" xfId="0" applyFont="1" applyFill="1" applyBorder="1" applyAlignment="1">
      <alignment horizontal="center" vertical="center"/>
    </xf>
    <xf numFmtId="0" fontId="43" fillId="14" borderId="12" xfId="0" applyFont="1" applyFill="1" applyBorder="1" applyAlignment="1">
      <alignment horizontal="center" vertical="center"/>
    </xf>
    <xf numFmtId="2" fontId="51" fillId="14" borderId="0" xfId="0" applyNumberFormat="1" applyFont="1" applyFill="1" applyBorder="1" applyAlignment="1">
      <alignment horizontal="right"/>
    </xf>
    <xf numFmtId="0" fontId="8" fillId="19" borderId="0" xfId="0" applyFont="1" applyFill="1" applyAlignment="1">
      <alignment horizontal="left" vertical="top" wrapText="1"/>
    </xf>
    <xf numFmtId="0" fontId="48" fillId="14" borderId="0" xfId="0" applyFont="1" applyFill="1" applyBorder="1" applyAlignment="1">
      <alignment horizontal="center"/>
    </xf>
    <xf numFmtId="0" fontId="35" fillId="14" borderId="11" xfId="0" applyFont="1" applyFill="1" applyBorder="1" applyAlignment="1">
      <alignment horizontal="center" vertical="center"/>
    </xf>
    <xf numFmtId="0" fontId="35" fillId="14" borderId="9" xfId="0" applyFont="1" applyFill="1" applyBorder="1" applyAlignment="1">
      <alignment horizontal="center" vertical="center"/>
    </xf>
    <xf numFmtId="0" fontId="35" fillId="14" borderId="12" xfId="0" applyFont="1" applyFill="1" applyBorder="1" applyAlignment="1">
      <alignment horizontal="center" vertical="center"/>
    </xf>
    <xf numFmtId="0" fontId="36" fillId="9" borderId="0" xfId="0" applyFont="1" applyFill="1" applyBorder="1" applyAlignment="1">
      <alignment horizontal="left" vertical="top" wrapText="1"/>
    </xf>
    <xf numFmtId="0" fontId="66" fillId="14" borderId="2" xfId="0" applyFont="1" applyFill="1" applyBorder="1" applyAlignment="1">
      <alignment horizontal="center" vertical="center"/>
    </xf>
    <xf numFmtId="0" fontId="66" fillId="14" borderId="0" xfId="0" applyFont="1" applyFill="1" applyBorder="1" applyAlignment="1">
      <alignment horizontal="center" vertical="center"/>
    </xf>
    <xf numFmtId="0" fontId="62" fillId="14" borderId="0" xfId="0" applyFont="1" applyFill="1" applyBorder="1" applyAlignment="1">
      <alignment horizontal="left" vertical="center" wrapText="1"/>
    </xf>
    <xf numFmtId="0" fontId="62" fillId="14" borderId="0" xfId="0" applyFont="1" applyFill="1" applyBorder="1" applyAlignment="1">
      <alignment horizontal="left" vertical="center"/>
    </xf>
    <xf numFmtId="0" fontId="58" fillId="14" borderId="0" xfId="0" applyFont="1" applyFill="1" applyAlignment="1">
      <alignment horizontal="left"/>
    </xf>
    <xf numFmtId="14" fontId="36" fillId="14" borderId="3" xfId="0" applyNumberFormat="1" applyFont="1" applyFill="1" applyBorder="1" applyAlignment="1">
      <alignment horizontal="right"/>
    </xf>
    <xf numFmtId="0" fontId="36" fillId="14" borderId="0" xfId="0" applyFont="1" applyFill="1" applyBorder="1" applyAlignment="1">
      <alignment horizontal="left" vertical="top" wrapText="1"/>
    </xf>
    <xf numFmtId="0" fontId="36" fillId="14" borderId="0" xfId="0" applyFont="1" applyFill="1" applyBorder="1" applyAlignment="1">
      <alignment horizontal="center"/>
    </xf>
    <xf numFmtId="0" fontId="35" fillId="14" borderId="0" xfId="0" applyFont="1" applyFill="1" applyBorder="1" applyAlignment="1">
      <alignment horizontal="center" vertical="center"/>
    </xf>
    <xf numFmtId="0" fontId="58" fillId="14" borderId="0" xfId="0" applyFont="1" applyFill="1" applyBorder="1" applyAlignment="1">
      <alignment horizontal="center" vertical="center"/>
    </xf>
    <xf numFmtId="0" fontId="36" fillId="14" borderId="0" xfId="0" applyFont="1" applyFill="1" applyBorder="1" applyAlignment="1">
      <alignment horizontal="center" vertical="top" wrapText="1"/>
    </xf>
    <xf numFmtId="0" fontId="36" fillId="14" borderId="0" xfId="0" applyFont="1" applyFill="1" applyBorder="1" applyAlignment="1">
      <alignment horizontal="left" vertical="top"/>
    </xf>
    <xf numFmtId="0" fontId="49" fillId="14" borderId="0" xfId="0" applyFont="1" applyFill="1" applyAlignment="1">
      <alignment horizontal="left"/>
    </xf>
    <xf numFmtId="0" fontId="36" fillId="14" borderId="0" xfId="0" applyFont="1" applyFill="1" applyAlignment="1">
      <alignment horizontal="center"/>
    </xf>
    <xf numFmtId="0" fontId="8" fillId="14" borderId="0" xfId="0" applyFont="1" applyFill="1" applyAlignment="1">
      <alignment horizontal="center"/>
    </xf>
    <xf numFmtId="0" fontId="36" fillId="14" borderId="0" xfId="0" applyFont="1" applyFill="1" applyAlignment="1">
      <alignment horizontal="left" vertical="top"/>
    </xf>
    <xf numFmtId="0" fontId="36" fillId="14" borderId="0" xfId="0" applyFont="1" applyFill="1" applyBorder="1" applyAlignment="1">
      <alignment horizontal="center" vertical="top"/>
    </xf>
    <xf numFmtId="0" fontId="36" fillId="14" borderId="0" xfId="0" applyFont="1" applyFill="1" applyBorder="1" applyAlignment="1">
      <alignment horizontal="left"/>
    </xf>
    <xf numFmtId="2" fontId="35" fillId="14" borderId="0" xfId="0" applyNumberFormat="1" applyFont="1" applyFill="1" applyBorder="1" applyAlignment="1">
      <alignment horizontal="right"/>
    </xf>
    <xf numFmtId="0" fontId="46" fillId="14" borderId="0" xfId="0" applyFont="1" applyFill="1" applyBorder="1" applyAlignment="1">
      <alignment horizontal="center" vertical="top" wrapText="1"/>
    </xf>
    <xf numFmtId="0" fontId="56" fillId="14" borderId="11" xfId="0" applyFont="1" applyFill="1" applyBorder="1" applyAlignment="1">
      <alignment horizontal="center" vertical="center"/>
    </xf>
    <xf numFmtId="0" fontId="56" fillId="14" borderId="9" xfId="0" applyFont="1" applyFill="1" applyBorder="1" applyAlignment="1">
      <alignment horizontal="center" vertical="center"/>
    </xf>
    <xf numFmtId="0" fontId="56" fillId="14" borderId="12" xfId="0" applyFont="1" applyFill="1" applyBorder="1" applyAlignment="1">
      <alignment horizontal="center" vertical="center"/>
    </xf>
    <xf numFmtId="16" fontId="36" fillId="14" borderId="0" xfId="0" quotePrefix="1" applyNumberFormat="1" applyFont="1" applyFill="1" applyBorder="1" applyAlignment="1">
      <alignment horizontal="right"/>
    </xf>
    <xf numFmtId="2" fontId="36" fillId="8" borderId="0" xfId="0" applyNumberFormat="1" applyFont="1" applyFill="1" applyBorder="1" applyAlignment="1">
      <alignment horizontal="right"/>
    </xf>
    <xf numFmtId="0" fontId="36" fillId="8" borderId="0" xfId="0" applyFont="1" applyFill="1" applyBorder="1" applyAlignment="1">
      <alignment horizontal="right"/>
    </xf>
    <xf numFmtId="0" fontId="52" fillId="14" borderId="11" xfId="0" applyFont="1" applyFill="1" applyBorder="1" applyAlignment="1">
      <alignment horizontal="center" vertical="center"/>
    </xf>
    <xf numFmtId="0" fontId="52" fillId="14" borderId="9" xfId="0" applyFont="1" applyFill="1" applyBorder="1" applyAlignment="1">
      <alignment horizontal="center" vertical="center"/>
    </xf>
    <xf numFmtId="0" fontId="52" fillId="14" borderId="12" xfId="0" applyFont="1" applyFill="1" applyBorder="1" applyAlignment="1">
      <alignment horizontal="center" vertical="center"/>
    </xf>
    <xf numFmtId="0" fontId="35" fillId="14" borderId="0" xfId="0" applyFont="1" applyFill="1" applyBorder="1" applyAlignment="1">
      <alignment horizontal="right"/>
    </xf>
    <xf numFmtId="2" fontId="27" fillId="14" borderId="0" xfId="0" applyNumberFormat="1" applyFont="1" applyFill="1" applyBorder="1" applyAlignment="1">
      <alignment horizontal="right" vertical="top"/>
    </xf>
    <xf numFmtId="0" fontId="27" fillId="14" borderId="0" xfId="0" applyFont="1" applyFill="1" applyBorder="1" applyAlignment="1">
      <alignment horizontal="right" vertical="top"/>
    </xf>
    <xf numFmtId="0" fontId="52" fillId="9" borderId="0" xfId="0" applyFont="1" applyFill="1" applyBorder="1" applyAlignment="1">
      <alignment horizontal="center" vertical="center"/>
    </xf>
    <xf numFmtId="2" fontId="56" fillId="14" borderId="0" xfId="0" applyNumberFormat="1" applyFont="1" applyFill="1" applyBorder="1" applyAlignment="1">
      <alignment horizontal="right"/>
    </xf>
    <xf numFmtId="0" fontId="56" fillId="14" borderId="0" xfId="0" applyFont="1" applyFill="1" applyBorder="1" applyAlignment="1">
      <alignment horizontal="right"/>
    </xf>
    <xf numFmtId="0" fontId="35" fillId="9" borderId="0" xfId="0" applyFont="1" applyFill="1" applyBorder="1" applyAlignment="1">
      <alignment horizontal="left"/>
    </xf>
    <xf numFmtId="0" fontId="35" fillId="9" borderId="1" xfId="0" applyFont="1" applyFill="1" applyBorder="1" applyAlignment="1">
      <alignment horizontal="left"/>
    </xf>
    <xf numFmtId="0" fontId="35" fillId="14" borderId="5" xfId="0" applyFont="1" applyFill="1" applyBorder="1" applyAlignment="1">
      <alignment horizontal="center"/>
    </xf>
    <xf numFmtId="1" fontId="36" fillId="14" borderId="11" xfId="0" applyNumberFormat="1" applyFont="1" applyFill="1" applyBorder="1" applyAlignment="1">
      <alignment horizontal="center" vertical="center"/>
    </xf>
    <xf numFmtId="1" fontId="36" fillId="14" borderId="9" xfId="0" applyNumberFormat="1" applyFont="1" applyFill="1" applyBorder="1" applyAlignment="1">
      <alignment horizontal="center" vertical="center"/>
    </xf>
    <xf numFmtId="1" fontId="36" fillId="14" borderId="12" xfId="0" applyNumberFormat="1" applyFont="1" applyFill="1" applyBorder="1" applyAlignment="1">
      <alignment horizontal="center" vertical="center"/>
    </xf>
    <xf numFmtId="2" fontId="36" fillId="14" borderId="11" xfId="0" applyNumberFormat="1" applyFont="1" applyFill="1" applyBorder="1" applyAlignment="1">
      <alignment horizontal="center" vertical="center"/>
    </xf>
    <xf numFmtId="0" fontId="36" fillId="14" borderId="9" xfId="0" applyFont="1" applyFill="1" applyBorder="1" applyAlignment="1">
      <alignment horizontal="center" vertical="center"/>
    </xf>
    <xf numFmtId="0" fontId="36" fillId="14" borderId="12" xfId="0" applyFont="1" applyFill="1" applyBorder="1" applyAlignment="1">
      <alignment horizontal="center" vertical="center"/>
    </xf>
    <xf numFmtId="14" fontId="36" fillId="14" borderId="11" xfId="0" applyNumberFormat="1" applyFont="1" applyFill="1" applyBorder="1" applyAlignment="1">
      <alignment horizontal="center" vertical="center"/>
    </xf>
    <xf numFmtId="14" fontId="36" fillId="14" borderId="9" xfId="0" applyNumberFormat="1" applyFont="1" applyFill="1" applyBorder="1" applyAlignment="1">
      <alignment horizontal="center" vertical="center"/>
    </xf>
    <xf numFmtId="14" fontId="36" fillId="14" borderId="12" xfId="0" applyNumberFormat="1" applyFont="1" applyFill="1" applyBorder="1" applyAlignment="1">
      <alignment horizontal="center" vertical="center"/>
    </xf>
    <xf numFmtId="0" fontId="58" fillId="14" borderId="0" xfId="0" applyFont="1" applyFill="1" applyBorder="1" applyAlignment="1">
      <alignment horizontal="center"/>
    </xf>
    <xf numFmtId="0" fontId="10" fillId="0" borderId="4" xfId="0" applyFont="1" applyBorder="1" applyAlignment="1">
      <alignment horizontal="center"/>
    </xf>
    <xf numFmtId="0" fontId="10" fillId="0" borderId="6" xfId="0" applyFont="1" applyBorder="1" applyAlignment="1">
      <alignment horizontal="center"/>
    </xf>
    <xf numFmtId="0" fontId="2" fillId="8" borderId="0" xfId="0" applyFont="1" applyFill="1" applyAlignment="1">
      <alignment horizontal="left" wrapText="1"/>
    </xf>
    <xf numFmtId="0" fontId="2" fillId="8" borderId="0" xfId="0" applyFont="1" applyFill="1" applyAlignment="1">
      <alignment horizontal="left" vertical="top" wrapText="1"/>
    </xf>
    <xf numFmtId="0" fontId="2" fillId="8" borderId="0" xfId="0" applyFont="1" applyFill="1" applyAlignment="1">
      <alignment horizontal="left"/>
    </xf>
    <xf numFmtId="2" fontId="2" fillId="5" borderId="0" xfId="0" applyNumberFormat="1" applyFont="1" applyFill="1" applyAlignment="1">
      <alignment horizontal="right"/>
    </xf>
    <xf numFmtId="0" fontId="31" fillId="8" borderId="4"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31" fillId="8" borderId="2"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31" fillId="8" borderId="7" xfId="0" applyFont="1" applyFill="1" applyBorder="1" applyAlignment="1">
      <alignment horizontal="center" vertical="center" wrapText="1"/>
    </xf>
    <xf numFmtId="0" fontId="31" fillId="8" borderId="8" xfId="0" applyFont="1" applyFill="1" applyBorder="1" applyAlignment="1">
      <alignment horizontal="center" vertical="center" wrapText="1"/>
    </xf>
    <xf numFmtId="0" fontId="10" fillId="0" borderId="13"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2" fillId="0" borderId="11" xfId="0" applyFont="1" applyBorder="1" applyAlignment="1"/>
    <xf numFmtId="0" fontId="2" fillId="0" borderId="12" xfId="0" applyFont="1" applyBorder="1" applyAlignment="1"/>
    <xf numFmtId="0" fontId="2" fillId="4" borderId="11" xfId="0" applyFont="1" applyFill="1" applyBorder="1" applyAlignment="1">
      <alignment horizontal="right"/>
    </xf>
    <xf numFmtId="0" fontId="2" fillId="4" borderId="12" xfId="0" applyFont="1" applyFill="1" applyBorder="1" applyAlignment="1">
      <alignment horizontal="right"/>
    </xf>
    <xf numFmtId="0" fontId="2" fillId="0" borderId="11" xfId="0" applyFont="1" applyBorder="1" applyAlignment="1">
      <alignment horizontal="right"/>
    </xf>
    <xf numFmtId="0" fontId="2" fillId="0" borderId="12" xfId="0" applyFont="1" applyBorder="1" applyAlignment="1">
      <alignment horizontal="right"/>
    </xf>
    <xf numFmtId="0" fontId="2" fillId="4" borderId="11" xfId="0" applyFont="1" applyFill="1" applyBorder="1" applyAlignment="1"/>
    <xf numFmtId="0" fontId="2" fillId="4" borderId="12" xfId="0" applyFont="1" applyFill="1" applyBorder="1" applyAlignment="1"/>
    <xf numFmtId="0" fontId="10" fillId="0" borderId="16" xfId="0" applyFont="1" applyFill="1" applyBorder="1" applyAlignment="1">
      <alignment horizontal="center"/>
    </xf>
    <xf numFmtId="0" fontId="10" fillId="0" borderId="1" xfId="0" applyFont="1" applyFill="1" applyBorder="1" applyAlignment="1">
      <alignment horizontal="center"/>
    </xf>
    <xf numFmtId="0" fontId="2" fillId="0" borderId="0" xfId="0" applyFont="1" applyAlignment="1">
      <alignment horizontal="right"/>
    </xf>
    <xf numFmtId="0" fontId="31" fillId="8" borderId="5" xfId="0" applyFont="1" applyFill="1" applyBorder="1" applyAlignment="1">
      <alignment horizontal="left" vertical="top" wrapText="1"/>
    </xf>
    <xf numFmtId="0" fontId="31" fillId="8" borderId="6" xfId="0" applyFont="1" applyFill="1" applyBorder="1" applyAlignment="1">
      <alignment horizontal="left" vertical="top" wrapText="1"/>
    </xf>
    <xf numFmtId="0" fontId="31" fillId="8" borderId="0" xfId="0" applyFont="1" applyFill="1" applyBorder="1" applyAlignment="1">
      <alignment horizontal="left" vertical="top" wrapText="1"/>
    </xf>
    <xf numFmtId="0" fontId="31" fillId="8" borderId="1" xfId="0" applyFont="1" applyFill="1" applyBorder="1" applyAlignment="1">
      <alignment horizontal="left" vertical="top" wrapText="1"/>
    </xf>
    <xf numFmtId="0" fontId="31" fillId="8" borderId="3" xfId="0" applyFont="1" applyFill="1" applyBorder="1" applyAlignment="1">
      <alignment horizontal="left" vertical="top" wrapText="1"/>
    </xf>
    <xf numFmtId="0" fontId="31" fillId="8" borderId="8" xfId="0" applyFont="1" applyFill="1" applyBorder="1" applyAlignment="1">
      <alignment horizontal="left" vertical="top" wrapText="1"/>
    </xf>
    <xf numFmtId="0" fontId="31" fillId="8" borderId="4" xfId="0" applyFont="1" applyFill="1" applyBorder="1" applyAlignment="1">
      <alignment horizontal="left" vertical="top" wrapText="1"/>
    </xf>
    <xf numFmtId="0" fontId="31" fillId="8" borderId="2" xfId="0" applyFont="1" applyFill="1" applyBorder="1" applyAlignment="1">
      <alignment horizontal="left" vertical="top" wrapText="1"/>
    </xf>
    <xf numFmtId="0" fontId="31" fillId="8" borderId="7" xfId="0" applyFont="1" applyFill="1" applyBorder="1" applyAlignment="1">
      <alignment horizontal="left" vertical="top" wrapText="1"/>
    </xf>
    <xf numFmtId="0" fontId="2" fillId="0" borderId="2" xfId="0" applyFont="1" applyBorder="1" applyAlignment="1">
      <alignment horizontal="left" wrapText="1"/>
    </xf>
    <xf numFmtId="0" fontId="2" fillId="0" borderId="0" xfId="0" applyFont="1" applyBorder="1" applyAlignment="1">
      <alignment horizontal="left" wrapText="1"/>
    </xf>
    <xf numFmtId="0" fontId="2" fillId="0" borderId="6" xfId="0" applyFont="1" applyBorder="1" applyAlignment="1">
      <alignment horizontal="center"/>
    </xf>
    <xf numFmtId="0" fontId="10" fillId="0" borderId="2" xfId="0" applyFont="1" applyBorder="1" applyAlignment="1">
      <alignment horizontal="center"/>
    </xf>
    <xf numFmtId="0" fontId="10" fillId="0" borderId="1" xfId="0" applyFont="1" applyBorder="1" applyAlignment="1">
      <alignment horizontal="center"/>
    </xf>
    <xf numFmtId="0" fontId="10" fillId="0" borderId="0" xfId="0" applyFont="1" applyBorder="1" applyAlignment="1">
      <alignment horizontal="center"/>
    </xf>
    <xf numFmtId="0" fontId="10" fillId="0" borderId="17" xfId="0" applyFont="1" applyBorder="1" applyAlignment="1">
      <alignment horizontal="center"/>
    </xf>
    <xf numFmtId="0" fontId="10" fillId="0" borderId="5" xfId="0" applyFont="1" applyFill="1" applyBorder="1" applyAlignment="1">
      <alignment horizontal="center"/>
    </xf>
    <xf numFmtId="0" fontId="10" fillId="0" borderId="6" xfId="0" applyFont="1" applyFill="1" applyBorder="1" applyAlignment="1">
      <alignment horizontal="center"/>
    </xf>
    <xf numFmtId="0" fontId="10" fillId="0" borderId="16" xfId="0" applyFont="1" applyBorder="1" applyAlignment="1">
      <alignment horizontal="center"/>
    </xf>
    <xf numFmtId="0" fontId="10" fillId="0" borderId="0" xfId="0" applyFont="1" applyFill="1" applyBorder="1" applyAlignment="1">
      <alignment horizontal="center"/>
    </xf>
    <xf numFmtId="0" fontId="10" fillId="0" borderId="24" xfId="0" applyFont="1" applyFill="1" applyBorder="1" applyAlignment="1">
      <alignment horizontal="center"/>
    </xf>
    <xf numFmtId="0" fontId="10" fillId="0" borderId="13"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5" xfId="0" applyFont="1" applyBorder="1" applyAlignment="1">
      <alignment horizontal="center"/>
    </xf>
    <xf numFmtId="0" fontId="0" fillId="8" borderId="0" xfId="0" applyFill="1" applyAlignment="1">
      <alignment horizontal="left" wrapText="1"/>
    </xf>
  </cellXfs>
  <cellStyles count="1">
    <cellStyle name="Standard" xfId="0" builtinId="0"/>
  </cellStyles>
  <dxfs count="158">
    <dxf>
      <fill>
        <patternFill>
          <bgColor theme="0"/>
        </patternFill>
      </fill>
      <border>
        <left style="thin">
          <color auto="1"/>
        </left>
        <right style="thin">
          <color auto="1"/>
        </right>
        <top style="thin">
          <color auto="1"/>
        </top>
        <bottom style="thin">
          <color auto="1"/>
        </bottom>
        <vertical/>
        <horizontal/>
      </border>
    </dxf>
    <dxf>
      <font>
        <color rgb="FFFF0000"/>
      </font>
    </dxf>
    <dxf>
      <font>
        <color theme="9" tint="-0.24994659260841701"/>
      </font>
    </dxf>
    <dxf>
      <font>
        <color rgb="FFFF0000"/>
      </font>
    </dxf>
    <dxf>
      <font>
        <color theme="9" tint="-0.24994659260841701"/>
      </font>
    </dxf>
    <dxf>
      <font>
        <color theme="9" tint="-0.24994659260841701"/>
      </font>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ont>
        <b/>
        <i val="0"/>
      </font>
    </dxf>
    <dxf>
      <font>
        <b/>
        <i val="0"/>
      </font>
    </dxf>
    <dxf>
      <font>
        <b/>
        <i val="0"/>
      </font>
    </dxf>
    <dxf>
      <font>
        <b/>
        <i val="0"/>
      </font>
    </dxf>
    <dxf>
      <font>
        <u/>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font>
      <fill>
        <patternFill>
          <bgColor theme="0" tint="-0.14996795556505021"/>
        </patternFill>
      </fill>
    </dxf>
    <dxf>
      <fill>
        <patternFill>
          <bgColor theme="0" tint="-0.14996795556505021"/>
        </patternFill>
      </fill>
      <border>
        <right style="thin">
          <color auto="1"/>
        </right>
        <bottom style="thin">
          <color auto="1"/>
        </bottom>
        <vertical/>
        <horizontal/>
      </border>
    </dxf>
    <dxf>
      <fill>
        <patternFill>
          <bgColor theme="0" tint="-0.14996795556505021"/>
        </patternFill>
      </fill>
      <border>
        <left style="thin">
          <color auto="1"/>
        </left>
        <bottom style="thin">
          <color auto="1"/>
        </bottom>
        <vertical/>
        <horizontal/>
      </border>
    </dxf>
    <dxf>
      <fill>
        <patternFill>
          <bgColor theme="0" tint="-0.14996795556505021"/>
        </patternFill>
      </fill>
    </dxf>
    <dxf>
      <fill>
        <patternFill>
          <bgColor theme="0" tint="-0.14996795556505021"/>
        </patternFill>
      </fill>
    </dxf>
    <dxf>
      <font>
        <b/>
        <i val="0"/>
        <color theme="9" tint="-0.24994659260841701"/>
      </font>
    </dxf>
    <dxf>
      <font>
        <b/>
        <i val="0"/>
        <color theme="9" tint="-0.24994659260841701"/>
      </font>
      <fill>
        <patternFill>
          <bgColor theme="0" tint="-0.14996795556505021"/>
        </patternFill>
      </fill>
    </dxf>
    <dxf>
      <fill>
        <patternFill>
          <bgColor theme="0" tint="-0.14996795556505021"/>
        </patternFill>
      </fill>
    </dxf>
    <dxf>
      <font>
        <color rgb="FFFF0000"/>
      </font>
    </dxf>
    <dxf>
      <font>
        <color rgb="FFFF4343"/>
      </font>
    </dxf>
    <dxf>
      <font>
        <color theme="9" tint="-0.24994659260841701"/>
      </font>
    </dxf>
    <dxf>
      <font>
        <color rgb="FFFF4343"/>
      </font>
      <fill>
        <patternFill patternType="solid">
          <bgColor theme="0"/>
        </patternFill>
      </fill>
    </dxf>
    <dxf>
      <font>
        <color theme="9" tint="-0.24994659260841701"/>
      </font>
      <fill>
        <patternFill>
          <bgColor theme="0"/>
        </patternFill>
      </fill>
    </dxf>
    <dxf>
      <font>
        <b/>
        <i val="0"/>
        <color theme="9" tint="-0.24994659260841701"/>
      </font>
    </dxf>
    <dxf>
      <font>
        <color rgb="FFFF0000"/>
      </font>
    </dxf>
    <dxf>
      <font>
        <color theme="9" tint="-0.24994659260841701"/>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9" tint="-0.24994659260841701"/>
      </font>
    </dxf>
    <dxf>
      <font>
        <color theme="9" tint="-0.24994659260841701"/>
      </font>
    </dxf>
    <dxf>
      <font>
        <color rgb="FFFF000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b val="0"/>
        <i val="0"/>
      </font>
      <fill>
        <patternFill>
          <bgColor theme="0" tint="-0.14996795556505021"/>
        </patternFill>
      </fill>
      <border>
        <bottom style="thin">
          <color auto="1"/>
        </bottom>
        <vertical/>
        <horizontal/>
      </border>
    </dxf>
    <dxf>
      <font>
        <b/>
        <i val="0"/>
        <color rgb="FFFF0000"/>
      </font>
      <fill>
        <patternFill>
          <bgColor theme="0" tint="-0.14996795556505021"/>
        </patternFill>
      </fill>
      <border>
        <right/>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left style="thin">
          <color auto="1"/>
        </left>
        <bottom/>
        <vertical/>
        <horizontal/>
      </border>
    </dxf>
    <dxf>
      <fill>
        <patternFill>
          <bgColor theme="0" tint="-0.1499679555650502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style="thin">
          <color auto="1"/>
        </right>
        <vertical/>
        <horizontal/>
      </border>
    </dxf>
    <dxf>
      <fill>
        <patternFill>
          <bgColor theme="0" tint="-0.14996795556505021"/>
        </patternFill>
      </fill>
      <border>
        <right style="thin">
          <color auto="1"/>
        </right>
        <vertical/>
        <horizontal/>
      </border>
    </dxf>
    <dxf>
      <fill>
        <patternFill>
          <bgColor theme="0" tint="-0.14996795556505021"/>
        </patternFill>
      </fill>
      <border>
        <right style="thin">
          <color auto="1"/>
        </right>
        <vertical/>
        <horizontal/>
      </border>
    </dxf>
    <dxf>
      <fill>
        <patternFill>
          <bgColor theme="0" tint="-0.14996795556505021"/>
        </patternFill>
      </fill>
      <border>
        <right style="thin">
          <color auto="1"/>
        </right>
        <bottom style="thin">
          <color auto="1"/>
        </bottom>
        <vertical/>
        <horizontal/>
      </border>
    </dxf>
    <dxf>
      <fill>
        <patternFill>
          <bgColor theme="0" tint="-0.14996795556505021"/>
        </patternFill>
      </fill>
      <border>
        <left style="thin">
          <color auto="1"/>
        </left>
        <bottom style="thin">
          <color auto="1"/>
        </bottom>
        <vertical/>
        <horizontal/>
      </border>
    </dxf>
    <dxf>
      <fill>
        <patternFill>
          <bgColor theme="0" tint="-0.14996795556505021"/>
        </patternFill>
      </fill>
      <border>
        <left style="thin">
          <color auto="1"/>
        </left>
        <right style="thin">
          <color auto="1"/>
        </right>
        <top style="thin">
          <color auto="1"/>
        </top>
        <vertical/>
        <horizontal/>
      </border>
    </dxf>
    <dxf>
      <border>
        <bottom style="thin">
          <color auto="1"/>
        </bottom>
        <vertical/>
        <horizontal/>
      </border>
    </dxf>
    <dxf>
      <font>
        <color rgb="FFFF0000"/>
      </font>
    </dxf>
    <dxf>
      <font>
        <color rgb="FFFF0000"/>
      </font>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ill>
        <patternFill>
          <bgColor rgb="FFFFFF66"/>
        </patternFill>
      </fill>
      <border>
        <left style="thin">
          <color auto="1"/>
        </left>
        <right style="thin">
          <color auto="1"/>
        </right>
        <top style="thin">
          <color auto="1"/>
        </top>
        <bottom style="thin">
          <color auto="1"/>
        </bottom>
        <vertical/>
        <horizontal/>
      </border>
    </dxf>
    <dxf>
      <fill>
        <patternFill>
          <bgColor theme="7"/>
        </patternFill>
      </fill>
      <border>
        <left/>
        <right/>
        <top/>
        <bottom/>
        <vertical/>
        <horizontal/>
      </border>
    </dxf>
    <dxf>
      <fill>
        <patternFill>
          <bgColor rgb="FFFFC000"/>
        </patternFill>
      </fill>
      <border>
        <left/>
        <right/>
        <top/>
        <bottom/>
        <vertical/>
        <horizontal/>
      </border>
    </dxf>
    <dxf>
      <fill>
        <patternFill>
          <bgColor rgb="FFFFC000"/>
        </patternFill>
      </fill>
      <border>
        <left/>
        <right/>
        <top/>
        <bottom/>
        <vertical/>
        <horizontal/>
      </border>
    </dxf>
    <dxf>
      <fill>
        <patternFill>
          <bgColor rgb="FFFFC000"/>
        </patternFill>
      </fill>
    </dxf>
    <dxf>
      <fill>
        <patternFill>
          <bgColor rgb="FFFFC000"/>
        </patternFill>
      </fill>
    </dxf>
    <dxf>
      <fill>
        <patternFill>
          <bgColor rgb="FFFFC000"/>
        </patternFill>
      </fill>
    </dxf>
    <dxf>
      <font>
        <color auto="1"/>
      </font>
    </dxf>
    <dxf>
      <font>
        <color auto="1"/>
      </font>
      <fill>
        <patternFill>
          <bgColor theme="0"/>
        </patternFill>
      </fill>
      <border>
        <left style="thin">
          <color auto="1"/>
        </left>
        <right style="thin">
          <color auto="1"/>
        </right>
        <top style="thin">
          <color auto="1"/>
        </top>
        <bottom style="thin">
          <color auto="1"/>
        </bottom>
        <vertical/>
        <horizontal/>
      </border>
    </dxf>
    <dxf>
      <fill>
        <patternFill patternType="lightHorizontal">
          <fgColor auto="1"/>
        </patternFill>
      </fill>
      <border>
        <vertical/>
        <horizontal/>
      </border>
    </dxf>
    <dxf>
      <font>
        <color auto="1"/>
      </font>
    </dxf>
    <dxf>
      <font>
        <color auto="1"/>
      </font>
      <fill>
        <patternFill>
          <bgColor rgb="FFFFFF66"/>
        </patternFill>
      </fill>
      <border>
        <left style="thin">
          <color auto="1"/>
        </left>
        <right style="thin">
          <color auto="1"/>
        </right>
        <top style="thin">
          <color auto="1"/>
        </top>
        <bottom style="thin">
          <color auto="1"/>
        </bottom>
      </border>
    </dxf>
    <dxf>
      <fill>
        <patternFill patternType="lightHorizontal"/>
      </fill>
    </dxf>
    <dxf>
      <font>
        <color auto="1"/>
      </font>
    </dxf>
    <dxf>
      <font>
        <color auto="1"/>
      </font>
    </dxf>
    <dxf>
      <fill>
        <patternFill>
          <bgColor theme="0"/>
        </patternFill>
      </fill>
      <border>
        <left/>
        <right/>
        <top/>
        <bottom/>
        <vertical/>
        <horizontal/>
      </border>
    </dxf>
    <dxf>
      <font>
        <color theme="0" tint="-0.499984740745262"/>
      </font>
    </dxf>
    <dxf>
      <fill>
        <patternFill>
          <bgColor theme="0"/>
        </patternFill>
      </fill>
      <border>
        <left/>
        <right/>
        <top/>
        <bottom/>
        <vertical/>
        <horizontal/>
      </border>
    </dxf>
    <dxf>
      <font>
        <color theme="0" tint="-0.499984740745262"/>
      </font>
    </dxf>
    <dxf>
      <font>
        <color theme="0" tint="-0.499984740745262"/>
      </font>
    </dxf>
    <dxf>
      <font>
        <color theme="0" tint="-0.499984740745262"/>
      </font>
    </dxf>
    <dxf>
      <font>
        <color theme="0" tint="-0.499984740745262"/>
      </font>
    </dxf>
    <dxf>
      <fill>
        <patternFill>
          <bgColor theme="0"/>
        </patternFill>
      </fill>
      <border>
        <left/>
        <right/>
        <top/>
        <bottom/>
        <vertical/>
        <horizontal/>
      </border>
    </dxf>
    <dxf>
      <font>
        <color theme="0" tint="-0.499984740745262"/>
      </font>
    </dxf>
    <dxf>
      <fill>
        <patternFill>
          <bgColor theme="0"/>
        </patternFill>
      </fill>
      <border>
        <left/>
        <right/>
        <top/>
        <bottom/>
        <vertical/>
        <horizontal/>
      </border>
    </dxf>
    <dxf>
      <font>
        <color rgb="FFFF0000"/>
      </font>
    </dxf>
    <dxf>
      <border>
        <left style="thin">
          <color auto="1"/>
        </left>
        <right style="thin">
          <color auto="1"/>
        </right>
        <top style="thin">
          <color auto="1"/>
        </top>
        <bottom style="thin">
          <color auto="1"/>
        </bottom>
        <vertical/>
        <horizontal/>
      </border>
    </dxf>
    <dxf>
      <font>
        <color rgb="FFFF0000"/>
      </font>
    </dxf>
    <dxf>
      <font>
        <color theme="9" tint="-0.24994659260841701"/>
      </font>
    </dxf>
    <dxf>
      <font>
        <color rgb="FFFF0000"/>
      </font>
    </dxf>
    <dxf>
      <font>
        <color theme="9" tint="-0.24994659260841701"/>
      </font>
    </dxf>
    <dxf>
      <font>
        <color theme="9" tint="-0.24994659260841701"/>
      </font>
    </dxf>
    <dxf>
      <fill>
        <patternFill>
          <bgColor rgb="FFFFC000"/>
        </patternFill>
      </fill>
    </dxf>
    <dxf>
      <font>
        <color rgb="FFFF0000"/>
      </font>
    </dxf>
    <dxf>
      <font>
        <color rgb="FFFF0000"/>
      </font>
    </dxf>
    <dxf>
      <font>
        <color rgb="FFFF0000"/>
      </font>
    </dxf>
    <dxf>
      <font>
        <color theme="4" tint="-0.24994659260841701"/>
      </font>
    </dxf>
    <dxf>
      <font>
        <b/>
        <i val="0"/>
      </font>
    </dxf>
    <dxf>
      <font>
        <b/>
        <i val="0"/>
      </font>
    </dxf>
    <dxf>
      <font>
        <b/>
        <i val="0"/>
      </font>
    </dxf>
    <dxf>
      <font>
        <b/>
        <i val="0"/>
      </font>
    </dxf>
    <dxf>
      <font>
        <u/>
      </font>
    </dxf>
    <dxf>
      <font>
        <color rgb="FFFF0000"/>
      </font>
    </dxf>
    <dxf>
      <font>
        <color rgb="FFFF0000"/>
      </font>
    </dxf>
    <dxf>
      <font>
        <color rgb="FFFF0000"/>
      </font>
    </dxf>
    <dxf>
      <font>
        <color rgb="FFFF0000"/>
      </font>
    </dxf>
    <dxf>
      <font>
        <color rgb="FFFF0000"/>
      </font>
    </dxf>
    <dxf>
      <font>
        <color rgb="FFFF0000"/>
      </font>
    </dxf>
    <dxf>
      <font>
        <b val="0"/>
        <i val="0"/>
        <strike val="0"/>
        <condense val="0"/>
        <extend val="0"/>
        <outline val="0"/>
        <shadow val="0"/>
        <u val="none"/>
        <vertAlign val="baseline"/>
        <sz val="11"/>
        <color auto="1"/>
        <name val="Arial"/>
        <scheme val="none"/>
      </font>
      <fill>
        <patternFill patternType="none">
          <fgColor indexed="64"/>
          <bgColor indexed="65"/>
        </patternFill>
      </fill>
      <protection locked="1" hidden="0"/>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protection locked="1" hidden="0"/>
    </dxf>
    <dxf>
      <font>
        <b/>
        <i val="0"/>
        <strike val="0"/>
        <condense val="0"/>
        <extend val="0"/>
        <outline val="0"/>
        <shadow val="0"/>
        <u val="none"/>
        <vertAlign val="baseline"/>
        <sz val="11"/>
        <color auto="1"/>
        <name val="Arial"/>
        <scheme val="none"/>
      </font>
      <fill>
        <patternFill patternType="solid">
          <fgColor indexed="64"/>
          <bgColor rgb="FFFFFF66"/>
        </patternFill>
      </fill>
      <protection locked="0" hidden="0"/>
    </dxf>
    <dxf>
      <fill>
        <patternFill>
          <bgColor rgb="FFFFFF66"/>
        </patternFill>
      </fill>
      <border>
        <left style="thin">
          <color auto="1"/>
        </left>
        <right style="thin">
          <color auto="1"/>
        </right>
        <top style="thin">
          <color auto="1"/>
        </top>
        <bottom style="thin">
          <color auto="1"/>
        </bottom>
        <vertical/>
        <horizontal/>
      </border>
    </dxf>
    <dxf>
      <fill>
        <patternFill>
          <bgColor rgb="FFFFFF66"/>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vertical/>
        <horizontal/>
      </border>
    </dxf>
    <dxf>
      <fill>
        <patternFill>
          <bgColor rgb="FFFFFF66"/>
        </patternFill>
      </fill>
      <border>
        <left style="thin">
          <color auto="1"/>
        </left>
        <right style="thin">
          <color auto="1"/>
        </right>
        <top style="thin">
          <color auto="1"/>
        </top>
        <bottom style="thin">
          <color auto="1"/>
        </bottom>
        <vertical/>
        <horizontal/>
      </border>
    </dxf>
    <dxf>
      <fill>
        <patternFill>
          <bgColor rgb="FFFFFF66"/>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4343"/>
      <color rgb="FFFFFF66"/>
      <color rgb="FFFFFF00"/>
      <color rgb="FFFFFF99"/>
      <color rgb="FFFF8585"/>
      <color rgb="FFFF8B8B"/>
      <color rgb="FFFF6C61"/>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15040</xdr:colOff>
      <xdr:row>3</xdr:row>
      <xdr:rowOff>111802</xdr:rowOff>
    </xdr:from>
    <xdr:to>
      <xdr:col>16</xdr:col>
      <xdr:colOff>35521</xdr:colOff>
      <xdr:row>3</xdr:row>
      <xdr:rowOff>462845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040" y="111802"/>
          <a:ext cx="1175641" cy="351043"/>
        </a:xfrm>
        <a:prstGeom prst="rect">
          <a:avLst/>
        </a:prstGeom>
      </xdr:spPr>
    </xdr:pic>
    <xdr:clientData/>
  </xdr:twoCellAnchor>
  <xdr:twoCellAnchor editAs="oneCell">
    <xdr:from>
      <xdr:col>61</xdr:col>
      <xdr:colOff>48556</xdr:colOff>
      <xdr:row>3</xdr:row>
      <xdr:rowOff>0</xdr:rowOff>
    </xdr:from>
    <xdr:to>
      <xdr:col>77</xdr:col>
      <xdr:colOff>6632</xdr:colOff>
      <xdr:row>4</xdr:row>
      <xdr:rowOff>100656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2398" y="0"/>
          <a:ext cx="1161234" cy="578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15040</xdr:colOff>
      <xdr:row>6</xdr:row>
      <xdr:rowOff>111802</xdr:rowOff>
    </xdr:from>
    <xdr:to>
      <xdr:col>16</xdr:col>
      <xdr:colOff>35521</xdr:colOff>
      <xdr:row>7</xdr:row>
      <xdr:rowOff>35862</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040" y="569002"/>
          <a:ext cx="1163481" cy="351043"/>
        </a:xfrm>
        <a:prstGeom prst="rect">
          <a:avLst/>
        </a:prstGeom>
      </xdr:spPr>
    </xdr:pic>
    <xdr:clientData/>
  </xdr:twoCellAnchor>
  <xdr:twoCellAnchor editAs="oneCell">
    <xdr:from>
      <xdr:col>63</xdr:col>
      <xdr:colOff>5291</xdr:colOff>
      <xdr:row>6</xdr:row>
      <xdr:rowOff>0</xdr:rowOff>
    </xdr:from>
    <xdr:to>
      <xdr:col>77</xdr:col>
      <xdr:colOff>6632</xdr:colOff>
      <xdr:row>7</xdr:row>
      <xdr:rowOff>99826</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60458" y="1746250"/>
          <a:ext cx="1038507" cy="528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15040</xdr:colOff>
      <xdr:row>0</xdr:row>
      <xdr:rowOff>111802</xdr:rowOff>
    </xdr:from>
    <xdr:to>
      <xdr:col>16</xdr:col>
      <xdr:colOff>35521</xdr:colOff>
      <xdr:row>0</xdr:row>
      <xdr:rowOff>462845</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2201" y="111802"/>
          <a:ext cx="1152698" cy="351043"/>
        </a:xfrm>
        <a:prstGeom prst="rect">
          <a:avLst/>
        </a:prstGeom>
      </xdr:spPr>
    </xdr:pic>
    <xdr:clientData/>
  </xdr:twoCellAnchor>
  <xdr:twoCellAnchor editAs="oneCell">
    <xdr:from>
      <xdr:col>61</xdr:col>
      <xdr:colOff>48556</xdr:colOff>
      <xdr:row>0</xdr:row>
      <xdr:rowOff>0</xdr:rowOff>
    </xdr:from>
    <xdr:to>
      <xdr:col>77</xdr:col>
      <xdr:colOff>6632</xdr:colOff>
      <xdr:row>1</xdr:row>
      <xdr:rowOff>100656</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82556" y="1552575"/>
          <a:ext cx="1177276" cy="57690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4" displayName="Tabelle4" ref="B4:B174" totalsRowShown="0" headerRowDxfId="152" dataDxfId="151" tableBorderDxfId="150">
  <autoFilter ref="B4:B174" xr:uid="{00000000-0009-0000-0100-000004000000}"/>
  <sortState ref="B5">
    <sortCondition ref="B4:B174"/>
  </sortState>
  <tableColumns count="1">
    <tableColumn id="1" xr3:uid="{00000000-0010-0000-0000-000001000000}" name="bitte Ort auswählen" dataDxfId="149"/>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rgb="FFFFC000"/>
  </sheetPr>
  <dimension ref="A2:I195"/>
  <sheetViews>
    <sheetView tabSelected="1" zoomScale="115" zoomScaleNormal="115" workbookViewId="0">
      <selection activeCell="B4" sqref="B4"/>
    </sheetView>
  </sheetViews>
  <sheetFormatPr baseColWidth="10" defaultColWidth="9.140625" defaultRowHeight="14.25" x14ac:dyDescent="0.2"/>
  <cols>
    <col min="1" max="1" width="9.28515625" style="165" customWidth="1"/>
    <col min="2" max="2" width="30.140625" style="165" customWidth="1"/>
    <col min="3" max="3" width="60.42578125" style="165" customWidth="1"/>
    <col min="4" max="4" width="10.85546875" style="165" customWidth="1"/>
    <col min="5" max="5" width="4" style="166" customWidth="1"/>
    <col min="6" max="6" width="22.42578125" style="165" customWidth="1"/>
    <col min="7" max="7" width="23.28515625" style="165" customWidth="1"/>
    <col min="8" max="8" width="38.42578125" style="165" customWidth="1"/>
    <col min="9" max="16384" width="9.140625" style="165"/>
  </cols>
  <sheetData>
    <row r="2" spans="1:9" ht="18" x14ac:dyDescent="0.25">
      <c r="A2" s="605" t="s">
        <v>363</v>
      </c>
      <c r="B2" s="605"/>
      <c r="C2" s="605"/>
      <c r="D2" s="605"/>
      <c r="E2" s="605"/>
      <c r="F2" s="605"/>
      <c r="G2" s="605"/>
      <c r="H2" s="605"/>
      <c r="I2" s="605"/>
    </row>
    <row r="3" spans="1:9" ht="27" customHeight="1" x14ac:dyDescent="0.25">
      <c r="C3" s="530"/>
    </row>
    <row r="4" spans="1:9" ht="15" x14ac:dyDescent="0.25">
      <c r="B4" s="178" t="s">
        <v>357</v>
      </c>
    </row>
    <row r="5" spans="1:9" x14ac:dyDescent="0.2">
      <c r="A5" s="167">
        <v>1</v>
      </c>
      <c r="B5" s="168" t="s">
        <v>0</v>
      </c>
      <c r="C5" s="169" t="s">
        <v>1</v>
      </c>
      <c r="D5" s="169" t="s">
        <v>333</v>
      </c>
      <c r="E5" s="170" t="str">
        <f>Mietstufenzuordnung!L5</f>
        <v>nV</v>
      </c>
      <c r="F5" s="170" t="s">
        <v>334</v>
      </c>
      <c r="G5" s="170" t="str">
        <f>VLOOKUP(I5,Daten!$A$5:$E$10,2)</f>
        <v xml:space="preserve">FD 56.5 - Göttingen Land </v>
      </c>
      <c r="H5" s="170" t="str">
        <f>VLOOKUP(I5,Daten!$A$5:$E$10,3)</f>
        <v>Carl-Zeiss-Straße 5, 37081 Göttingen</v>
      </c>
      <c r="I5" s="171">
        <v>1</v>
      </c>
    </row>
    <row r="6" spans="1:9" x14ac:dyDescent="0.2">
      <c r="A6" s="167">
        <v>2</v>
      </c>
      <c r="B6" s="168" t="s">
        <v>2</v>
      </c>
      <c r="C6" s="169" t="s">
        <v>3</v>
      </c>
      <c r="D6" s="169" t="s">
        <v>333</v>
      </c>
      <c r="E6" s="170" t="str">
        <f>Mietstufenzuordnung!L6</f>
        <v>nV</v>
      </c>
      <c r="F6" s="170" t="s">
        <v>334</v>
      </c>
      <c r="G6" s="170" t="str">
        <f>VLOOKUP(I6,Daten!$A$5:$E$10,2)</f>
        <v xml:space="preserve">FD 56.5 - Göttingen Land </v>
      </c>
      <c r="H6" s="170" t="str">
        <f>VLOOKUP(I6,Daten!$A$5:$E$10,3)</f>
        <v>Carl-Zeiss-Straße 5, 37081 Göttingen</v>
      </c>
      <c r="I6" s="171">
        <v>1</v>
      </c>
    </row>
    <row r="7" spans="1:9" x14ac:dyDescent="0.2">
      <c r="A7" s="167">
        <v>3</v>
      </c>
      <c r="B7" s="168" t="s">
        <v>4</v>
      </c>
      <c r="C7" s="169" t="s">
        <v>5</v>
      </c>
      <c r="D7" s="169" t="s">
        <v>333</v>
      </c>
      <c r="E7" s="170" t="str">
        <f>Mietstufenzuordnung!L7</f>
        <v>nV</v>
      </c>
      <c r="F7" s="170" t="s">
        <v>334</v>
      </c>
      <c r="G7" s="170" t="str">
        <f>VLOOKUP(I7,Daten!$A$5:$E$10,2)</f>
        <v xml:space="preserve">FD 56.5 - Göttingen Land </v>
      </c>
      <c r="H7" s="170" t="str">
        <f>VLOOKUP(I7,Daten!$A$5:$E$10,3)</f>
        <v>Carl-Zeiss-Straße 5, 37081 Göttingen</v>
      </c>
      <c r="I7" s="171">
        <v>1</v>
      </c>
    </row>
    <row r="8" spans="1:9" x14ac:dyDescent="0.2">
      <c r="A8" s="167">
        <v>4</v>
      </c>
      <c r="B8" s="168" t="s">
        <v>6</v>
      </c>
      <c r="C8" s="169" t="s">
        <v>7</v>
      </c>
      <c r="D8" s="169" t="s">
        <v>333</v>
      </c>
      <c r="E8" s="170" t="str">
        <f>Mietstufenzuordnung!L8</f>
        <v>nV</v>
      </c>
      <c r="F8" s="170" t="s">
        <v>334</v>
      </c>
      <c r="G8" s="170" t="str">
        <f>VLOOKUP(I8,Daten!$A$5:$E$10,2)</f>
        <v xml:space="preserve">FD 56.6 - Hann.Münden  </v>
      </c>
      <c r="H8" s="170" t="str">
        <f>VLOOKUP(I8,Daten!$A$5:$E$10,3)</f>
        <v>Auefeld 10, 34346 Hann.Münden</v>
      </c>
      <c r="I8" s="171">
        <v>4</v>
      </c>
    </row>
    <row r="9" spans="1:9" x14ac:dyDescent="0.2">
      <c r="A9" s="167">
        <v>5</v>
      </c>
      <c r="B9" s="168" t="s">
        <v>8</v>
      </c>
      <c r="C9" s="169" t="s">
        <v>9</v>
      </c>
      <c r="D9" s="169" t="s">
        <v>333</v>
      </c>
      <c r="E9" s="170" t="str">
        <f>Mietstufenzuordnung!L9</f>
        <v>nV</v>
      </c>
      <c r="F9" s="170" t="s">
        <v>334</v>
      </c>
      <c r="G9" s="170" t="str">
        <f>VLOOKUP(I9,Daten!$A$5:$E$10,2)</f>
        <v xml:space="preserve">FD 56.5 - Göttingen Land </v>
      </c>
      <c r="H9" s="170" t="str">
        <f>VLOOKUP(I9,Daten!$A$5:$E$10,3)</f>
        <v>Carl-Zeiss-Straße 5, 37081 Göttingen</v>
      </c>
      <c r="I9" s="171">
        <v>1</v>
      </c>
    </row>
    <row r="10" spans="1:9" x14ac:dyDescent="0.2">
      <c r="A10" s="167">
        <v>6</v>
      </c>
      <c r="B10" s="168" t="s">
        <v>10</v>
      </c>
      <c r="C10" s="169" t="s">
        <v>11</v>
      </c>
      <c r="D10" s="169" t="s">
        <v>333</v>
      </c>
      <c r="E10" s="170" t="str">
        <f>Mietstufenzuordnung!L10</f>
        <v>nV</v>
      </c>
      <c r="F10" s="170" t="s">
        <v>334</v>
      </c>
      <c r="G10" s="170" t="str">
        <f>VLOOKUP(I10,Daten!$A$5:$E$10,2)</f>
        <v xml:space="preserve">FD 56.5 - Göttingen Land </v>
      </c>
      <c r="H10" s="170" t="str">
        <f>VLOOKUP(I10,Daten!$A$5:$E$10,3)</f>
        <v>Carl-Zeiss-Straße 5, 37081 Göttingen</v>
      </c>
      <c r="I10" s="171">
        <v>1</v>
      </c>
    </row>
    <row r="11" spans="1:9" x14ac:dyDescent="0.2">
      <c r="A11" s="167">
        <v>7</v>
      </c>
      <c r="B11" s="168" t="s">
        <v>12</v>
      </c>
      <c r="C11" s="169" t="s">
        <v>13</v>
      </c>
      <c r="D11" s="169" t="s">
        <v>333</v>
      </c>
      <c r="E11" s="170" t="str">
        <f>Mietstufenzuordnung!L11</f>
        <v>nV</v>
      </c>
      <c r="F11" s="170" t="s">
        <v>334</v>
      </c>
      <c r="G11" s="170" t="str">
        <f>VLOOKUP(I11,Daten!$A$5:$E$10,2)</f>
        <v xml:space="preserve">FD 56.5 - Göttingen Land </v>
      </c>
      <c r="H11" s="170" t="str">
        <f>VLOOKUP(I11,Daten!$A$5:$E$10,3)</f>
        <v>Carl-Zeiss-Straße 5, 37081 Göttingen</v>
      </c>
      <c r="I11" s="171">
        <v>1</v>
      </c>
    </row>
    <row r="12" spans="1:9" x14ac:dyDescent="0.2">
      <c r="A12" s="167">
        <v>8</v>
      </c>
      <c r="B12" s="168" t="s">
        <v>14</v>
      </c>
      <c r="C12" s="169" t="s">
        <v>15</v>
      </c>
      <c r="D12" s="169" t="s">
        <v>333</v>
      </c>
      <c r="E12" s="170" t="str">
        <f>Mietstufenzuordnung!L12</f>
        <v>nV</v>
      </c>
      <c r="F12" s="170" t="s">
        <v>334</v>
      </c>
      <c r="G12" s="170" t="str">
        <f>VLOOKUP(I12,Daten!$A$5:$E$10,2)</f>
        <v xml:space="preserve">FD 56.6 - Hann.Münden  </v>
      </c>
      <c r="H12" s="170" t="str">
        <f>VLOOKUP(I12,Daten!$A$5:$E$10,3)</f>
        <v>Auefeld 10, 34346 Hann.Münden</v>
      </c>
      <c r="I12" s="171">
        <v>4</v>
      </c>
    </row>
    <row r="13" spans="1:9" x14ac:dyDescent="0.2">
      <c r="A13" s="167">
        <v>9</v>
      </c>
      <c r="B13" s="168" t="s">
        <v>16</v>
      </c>
      <c r="C13" s="169" t="s">
        <v>17</v>
      </c>
      <c r="D13" s="169" t="s">
        <v>333</v>
      </c>
      <c r="E13" s="170" t="str">
        <f>Mietstufenzuordnung!L13</f>
        <v>nV</v>
      </c>
      <c r="F13" s="170" t="s">
        <v>334</v>
      </c>
      <c r="G13" s="170" t="str">
        <f>VLOOKUP(I13,Daten!$A$5:$E$10,2)</f>
        <v>FD 56.4 - Duderstadt</v>
      </c>
      <c r="H13" s="170" t="str">
        <f>VLOOKUP(I13,Daten!$A$5:$E$10,3)</f>
        <v>Industriestr. 16, 37115 Duderstadt</v>
      </c>
      <c r="I13" s="171">
        <v>3</v>
      </c>
    </row>
    <row r="14" spans="1:9" x14ac:dyDescent="0.2">
      <c r="A14" s="167">
        <v>10</v>
      </c>
      <c r="B14" s="168" t="s">
        <v>18</v>
      </c>
      <c r="C14" s="169" t="s">
        <v>19</v>
      </c>
      <c r="D14" s="169" t="s">
        <v>333</v>
      </c>
      <c r="E14" s="170" t="str">
        <f>Mietstufenzuordnung!L14</f>
        <v>nV</v>
      </c>
      <c r="F14" s="170" t="s">
        <v>334</v>
      </c>
      <c r="G14" s="170" t="str">
        <f>VLOOKUP(I14,Daten!$A$5:$E$10,2)</f>
        <v xml:space="preserve">FD 56.5 - Göttingen Land </v>
      </c>
      <c r="H14" s="170" t="str">
        <f>VLOOKUP(I14,Daten!$A$5:$E$10,3)</f>
        <v>Carl-Zeiss-Straße 5, 37081 Göttingen</v>
      </c>
      <c r="I14" s="171">
        <v>1</v>
      </c>
    </row>
    <row r="15" spans="1:9" x14ac:dyDescent="0.2">
      <c r="A15" s="167">
        <v>11</v>
      </c>
      <c r="B15" s="168" t="s">
        <v>20</v>
      </c>
      <c r="C15" s="169" t="s">
        <v>21</v>
      </c>
      <c r="D15" s="169" t="s">
        <v>333</v>
      </c>
      <c r="E15" s="170" t="str">
        <f>Mietstufenzuordnung!L15</f>
        <v>nV</v>
      </c>
      <c r="F15" s="170" t="s">
        <v>334</v>
      </c>
      <c r="G15" s="170" t="str">
        <f>VLOOKUP(I15,Daten!$A$5:$E$10,2)</f>
        <v>FD 56.4 - Duderstadt</v>
      </c>
      <c r="H15" s="170" t="str">
        <f>VLOOKUP(I15,Daten!$A$5:$E$10,3)</f>
        <v>Industriestr. 16, 37115 Duderstadt</v>
      </c>
      <c r="I15" s="171">
        <v>3</v>
      </c>
    </row>
    <row r="16" spans="1:9" x14ac:dyDescent="0.2">
      <c r="A16" s="167">
        <v>12</v>
      </c>
      <c r="B16" s="168" t="s">
        <v>22</v>
      </c>
      <c r="C16" s="169" t="s">
        <v>23</v>
      </c>
      <c r="D16" s="169" t="s">
        <v>333</v>
      </c>
      <c r="E16" s="170" t="str">
        <f>Mietstufenzuordnung!L16</f>
        <v>nV</v>
      </c>
      <c r="F16" s="170" t="s">
        <v>334</v>
      </c>
      <c r="G16" s="170" t="str">
        <f>VLOOKUP(I16,Daten!$A$5:$E$10,2)</f>
        <v xml:space="preserve">FD 56.5 - Göttingen Land </v>
      </c>
      <c r="H16" s="170" t="str">
        <f>VLOOKUP(I16,Daten!$A$5:$E$10,3)</f>
        <v>Carl-Zeiss-Straße 5, 37081 Göttingen</v>
      </c>
      <c r="I16" s="171">
        <v>1</v>
      </c>
    </row>
    <row r="17" spans="1:9" x14ac:dyDescent="0.2">
      <c r="A17" s="167">
        <v>13</v>
      </c>
      <c r="B17" s="168" t="s">
        <v>24</v>
      </c>
      <c r="C17" s="169" t="s">
        <v>25</v>
      </c>
      <c r="D17" s="169" t="s">
        <v>333</v>
      </c>
      <c r="E17" s="170" t="str">
        <f>Mietstufenzuordnung!L17</f>
        <v>nV</v>
      </c>
      <c r="F17" s="170" t="s">
        <v>334</v>
      </c>
      <c r="G17" s="170" t="str">
        <f>VLOOKUP(I17,Daten!$A$5:$E$10,2)</f>
        <v>FD 56.4 - Duderstadt</v>
      </c>
      <c r="H17" s="170" t="str">
        <f>VLOOKUP(I17,Daten!$A$5:$E$10,3)</f>
        <v>Industriestr. 16, 37115 Duderstadt</v>
      </c>
      <c r="I17" s="171">
        <v>3</v>
      </c>
    </row>
    <row r="18" spans="1:9" x14ac:dyDescent="0.2">
      <c r="A18" s="167">
        <v>14</v>
      </c>
      <c r="B18" s="168" t="s">
        <v>339</v>
      </c>
      <c r="C18" s="169" t="s">
        <v>336</v>
      </c>
      <c r="D18" s="169" t="s">
        <v>333</v>
      </c>
      <c r="E18" s="170" t="str">
        <f>Mietstufenzuordnung!L18</f>
        <v>nV</v>
      </c>
      <c r="F18" s="170" t="s">
        <v>334</v>
      </c>
      <c r="G18" s="170" t="str">
        <f>VLOOKUP(I18,Daten!$A$5:$E$10,2)</f>
        <v xml:space="preserve">FD 56.6 - Hann.Münden  </v>
      </c>
      <c r="H18" s="170" t="str">
        <f>VLOOKUP(I18,Daten!$A$5:$E$10,3)</f>
        <v>Auefeld 10, 34346 Hann.Münden</v>
      </c>
      <c r="I18" s="171">
        <v>4</v>
      </c>
    </row>
    <row r="19" spans="1:9" x14ac:dyDescent="0.2">
      <c r="A19" s="167">
        <v>15</v>
      </c>
      <c r="B19" s="168" t="s">
        <v>340</v>
      </c>
      <c r="C19" s="169" t="s">
        <v>337</v>
      </c>
      <c r="D19" s="169" t="s">
        <v>333</v>
      </c>
      <c r="E19" s="170" t="str">
        <f>Mietstufenzuordnung!L19</f>
        <v>nV</v>
      </c>
      <c r="F19" s="170" t="s">
        <v>334</v>
      </c>
      <c r="G19" s="170" t="str">
        <f>VLOOKUP(I19,Daten!$A$5:$E$10,2)</f>
        <v xml:space="preserve">FD 56.5 - Göttingen Land </v>
      </c>
      <c r="H19" s="170" t="str">
        <f>VLOOKUP(I19,Daten!$A$5:$E$10,3)</f>
        <v>Carl-Zeiss-Straße 5, 37081 Göttingen</v>
      </c>
      <c r="I19" s="171">
        <v>1</v>
      </c>
    </row>
    <row r="20" spans="1:9" x14ac:dyDescent="0.2">
      <c r="A20" s="167">
        <v>16</v>
      </c>
      <c r="B20" s="168" t="s">
        <v>26</v>
      </c>
      <c r="C20" s="169" t="s">
        <v>27</v>
      </c>
      <c r="D20" s="169" t="s">
        <v>333</v>
      </c>
      <c r="E20" s="170" t="str">
        <f>Mietstufenzuordnung!L20</f>
        <v>nV</v>
      </c>
      <c r="F20" s="170" t="s">
        <v>334</v>
      </c>
      <c r="G20" s="170" t="str">
        <f>VLOOKUP(I20,Daten!$A$5:$E$10,2)</f>
        <v xml:space="preserve">FD 56.6 - Hann.Münden  </v>
      </c>
      <c r="H20" s="170" t="str">
        <f>VLOOKUP(I20,Daten!$A$5:$E$10,3)</f>
        <v>Auefeld 10, 34346 Hann.Münden</v>
      </c>
      <c r="I20" s="171">
        <v>4</v>
      </c>
    </row>
    <row r="21" spans="1:9" x14ac:dyDescent="0.2">
      <c r="A21" s="167">
        <v>17</v>
      </c>
      <c r="B21" s="168" t="s">
        <v>28</v>
      </c>
      <c r="C21" s="169" t="s">
        <v>29</v>
      </c>
      <c r="D21" s="169" t="s">
        <v>333</v>
      </c>
      <c r="E21" s="170" t="str">
        <f>Mietstufenzuordnung!L21</f>
        <v>nV</v>
      </c>
      <c r="F21" s="170" t="s">
        <v>334</v>
      </c>
      <c r="G21" s="170" t="str">
        <f>VLOOKUP(I21,Daten!$A$5:$E$10,2)</f>
        <v xml:space="preserve">FD 56.5 - Göttingen Land </v>
      </c>
      <c r="H21" s="170" t="str">
        <f>VLOOKUP(I21,Daten!$A$5:$E$10,3)</f>
        <v>Carl-Zeiss-Straße 5, 37081 Göttingen</v>
      </c>
      <c r="I21" s="171">
        <v>1</v>
      </c>
    </row>
    <row r="22" spans="1:9" x14ac:dyDescent="0.2">
      <c r="A22" s="167">
        <v>18</v>
      </c>
      <c r="B22" s="168" t="s">
        <v>30</v>
      </c>
      <c r="C22" s="169" t="s">
        <v>31</v>
      </c>
      <c r="D22" s="169" t="s">
        <v>333</v>
      </c>
      <c r="E22" s="170" t="str">
        <f>Mietstufenzuordnung!L22</f>
        <v>nV</v>
      </c>
      <c r="F22" s="170" t="s">
        <v>334</v>
      </c>
      <c r="G22" s="170" t="str">
        <f>VLOOKUP(I22,Daten!$A$5:$E$10,2)</f>
        <v>FD 56.4 - Duderstadt</v>
      </c>
      <c r="H22" s="170" t="str">
        <f>VLOOKUP(I22,Daten!$A$5:$E$10,3)</f>
        <v>Industriestr. 16, 37115 Duderstadt</v>
      </c>
      <c r="I22" s="171">
        <v>3</v>
      </c>
    </row>
    <row r="23" spans="1:9" x14ac:dyDescent="0.2">
      <c r="A23" s="167">
        <v>19</v>
      </c>
      <c r="B23" s="168" t="s">
        <v>32</v>
      </c>
      <c r="C23" s="169" t="s">
        <v>33</v>
      </c>
      <c r="D23" s="169" t="s">
        <v>333</v>
      </c>
      <c r="E23" s="170" t="str">
        <f>Mietstufenzuordnung!L23</f>
        <v>nV</v>
      </c>
      <c r="F23" s="170" t="s">
        <v>334</v>
      </c>
      <c r="G23" s="170" t="str">
        <f>VLOOKUP(I23,Daten!$A$5:$E$10,2)</f>
        <v xml:space="preserve">FD 56.5 - Göttingen Land </v>
      </c>
      <c r="H23" s="170" t="str">
        <f>VLOOKUP(I23,Daten!$A$5:$E$10,3)</f>
        <v>Carl-Zeiss-Straße 5, 37081 Göttingen</v>
      </c>
      <c r="I23" s="171">
        <v>1</v>
      </c>
    </row>
    <row r="24" spans="1:9" x14ac:dyDescent="0.2">
      <c r="A24" s="167">
        <v>20</v>
      </c>
      <c r="B24" s="168" t="s">
        <v>34</v>
      </c>
      <c r="C24" s="169" t="s">
        <v>35</v>
      </c>
      <c r="D24" s="169" t="s">
        <v>333</v>
      </c>
      <c r="E24" s="170" t="str">
        <f>Mietstufenzuordnung!L24</f>
        <v>nV</v>
      </c>
      <c r="F24" s="170" t="s">
        <v>334</v>
      </c>
      <c r="G24" s="170" t="str">
        <f>VLOOKUP(I24,Daten!$A$5:$E$10,2)</f>
        <v>FD 56.4 - Duderstadt</v>
      </c>
      <c r="H24" s="170" t="str">
        <f>VLOOKUP(I24,Daten!$A$5:$E$10,3)</f>
        <v>Industriestr. 16, 37115 Duderstadt</v>
      </c>
      <c r="I24" s="171">
        <v>3</v>
      </c>
    </row>
    <row r="25" spans="1:9" x14ac:dyDescent="0.2">
      <c r="A25" s="167">
        <v>21</v>
      </c>
      <c r="B25" s="168" t="s">
        <v>36</v>
      </c>
      <c r="C25" s="169" t="s">
        <v>37</v>
      </c>
      <c r="D25" s="169" t="s">
        <v>333</v>
      </c>
      <c r="E25" s="170" t="str">
        <f>Mietstufenzuordnung!L25</f>
        <v>nV</v>
      </c>
      <c r="F25" s="170" t="s">
        <v>334</v>
      </c>
      <c r="G25" s="170" t="str">
        <f>VLOOKUP(I25,Daten!$A$5:$E$10,2)</f>
        <v xml:space="preserve">FD 56.6 - Hann.Münden  </v>
      </c>
      <c r="H25" s="170" t="str">
        <f>VLOOKUP(I25,Daten!$A$5:$E$10,3)</f>
        <v>Auefeld 10, 34346 Hann.Münden</v>
      </c>
      <c r="I25" s="171">
        <v>4</v>
      </c>
    </row>
    <row r="26" spans="1:9" x14ac:dyDescent="0.2">
      <c r="A26" s="167">
        <v>22</v>
      </c>
      <c r="B26" s="168" t="s">
        <v>38</v>
      </c>
      <c r="C26" s="169" t="s">
        <v>39</v>
      </c>
      <c r="D26" s="169" t="s">
        <v>333</v>
      </c>
      <c r="E26" s="170" t="str">
        <f>Mietstufenzuordnung!L26</f>
        <v>nV</v>
      </c>
      <c r="F26" s="170" t="s">
        <v>334</v>
      </c>
      <c r="G26" s="170" t="str">
        <f>VLOOKUP(I26,Daten!$A$5:$E$10,2)</f>
        <v xml:space="preserve">FD 56.5 - Göttingen Land </v>
      </c>
      <c r="H26" s="170" t="str">
        <f>VLOOKUP(I26,Daten!$A$5:$E$10,3)</f>
        <v>Carl-Zeiss-Straße 5, 37081 Göttingen</v>
      </c>
      <c r="I26" s="171">
        <v>1</v>
      </c>
    </row>
    <row r="27" spans="1:9" x14ac:dyDescent="0.2">
      <c r="A27" s="167">
        <v>23</v>
      </c>
      <c r="B27" s="168" t="s">
        <v>40</v>
      </c>
      <c r="C27" s="169" t="s">
        <v>41</v>
      </c>
      <c r="D27" s="169" t="s">
        <v>333</v>
      </c>
      <c r="E27" s="170" t="str">
        <f>Mietstufenzuordnung!L27</f>
        <v>nV</v>
      </c>
      <c r="F27" s="170" t="s">
        <v>334</v>
      </c>
      <c r="G27" s="170" t="str">
        <f>VLOOKUP(I27,Daten!$A$5:$E$10,2)</f>
        <v xml:space="preserve">FD 56.6 - Hann.Münden  </v>
      </c>
      <c r="H27" s="170" t="str">
        <f>VLOOKUP(I27,Daten!$A$5:$E$10,3)</f>
        <v>Auefeld 10, 34346 Hann.Münden</v>
      </c>
      <c r="I27" s="171">
        <v>4</v>
      </c>
    </row>
    <row r="28" spans="1:9" x14ac:dyDescent="0.2">
      <c r="A28" s="167">
        <v>24</v>
      </c>
      <c r="B28" s="168" t="s">
        <v>42</v>
      </c>
      <c r="C28" s="169" t="s">
        <v>43</v>
      </c>
      <c r="D28" s="169" t="s">
        <v>333</v>
      </c>
      <c r="E28" s="170" t="str">
        <f>Mietstufenzuordnung!L28</f>
        <v>nV</v>
      </c>
      <c r="F28" s="170" t="s">
        <v>334</v>
      </c>
      <c r="G28" s="170" t="str">
        <f>VLOOKUP(I28,Daten!$A$5:$E$10,2)</f>
        <v xml:space="preserve">FD 56.6 - Hann.Münden  </v>
      </c>
      <c r="H28" s="170" t="str">
        <f>VLOOKUP(I28,Daten!$A$5:$E$10,3)</f>
        <v>Auefeld 10, 34346 Hann.Münden</v>
      </c>
      <c r="I28" s="171">
        <v>4</v>
      </c>
    </row>
    <row r="29" spans="1:9" x14ac:dyDescent="0.2">
      <c r="A29" s="167">
        <v>25</v>
      </c>
      <c r="B29" s="168" t="s">
        <v>44</v>
      </c>
      <c r="C29" s="169" t="s">
        <v>45</v>
      </c>
      <c r="D29" s="169" t="s">
        <v>333</v>
      </c>
      <c r="E29" s="170" t="str">
        <f>Mietstufenzuordnung!L29</f>
        <v>nV</v>
      </c>
      <c r="F29" s="170" t="s">
        <v>334</v>
      </c>
      <c r="G29" s="170" t="str">
        <f>VLOOKUP(I29,Daten!$A$5:$E$10,2)</f>
        <v xml:space="preserve">FD 56.5 - Göttingen Land </v>
      </c>
      <c r="H29" s="170" t="str">
        <f>VLOOKUP(I29,Daten!$A$5:$E$10,3)</f>
        <v>Carl-Zeiss-Straße 5, 37081 Göttingen</v>
      </c>
      <c r="I29" s="171">
        <v>1</v>
      </c>
    </row>
    <row r="30" spans="1:9" x14ac:dyDescent="0.2">
      <c r="A30" s="167">
        <v>26</v>
      </c>
      <c r="B30" s="168" t="s">
        <v>46</v>
      </c>
      <c r="C30" s="169" t="s">
        <v>47</v>
      </c>
      <c r="D30" s="169" t="s">
        <v>333</v>
      </c>
      <c r="E30" s="170" t="str">
        <f>Mietstufenzuordnung!L30</f>
        <v>nV</v>
      </c>
      <c r="F30" s="170" t="s">
        <v>334</v>
      </c>
      <c r="G30" s="170" t="str">
        <f>VLOOKUP(I30,Daten!$A$5:$E$10,2)</f>
        <v>FD 56.4 - Duderstadt</v>
      </c>
      <c r="H30" s="170" t="str">
        <f>VLOOKUP(I30,Daten!$A$5:$E$10,3)</f>
        <v>Industriestr. 16, 37115 Duderstadt</v>
      </c>
      <c r="I30" s="171">
        <v>3</v>
      </c>
    </row>
    <row r="31" spans="1:9" x14ac:dyDescent="0.2">
      <c r="A31" s="167">
        <v>27</v>
      </c>
      <c r="B31" s="168" t="s">
        <v>48</v>
      </c>
      <c r="C31" s="169" t="s">
        <v>49</v>
      </c>
      <c r="D31" s="169" t="s">
        <v>333</v>
      </c>
      <c r="E31" s="170" t="str">
        <f>Mietstufenzuordnung!L31</f>
        <v>nV</v>
      </c>
      <c r="F31" s="170" t="s">
        <v>334</v>
      </c>
      <c r="G31" s="170" t="str">
        <f>VLOOKUP(I31,Daten!$A$5:$E$10,2)</f>
        <v xml:space="preserve">FD 56.5 - Göttingen Land </v>
      </c>
      <c r="H31" s="170" t="str">
        <f>VLOOKUP(I31,Daten!$A$5:$E$10,3)</f>
        <v>Carl-Zeiss-Straße 5, 37081 Göttingen</v>
      </c>
      <c r="I31" s="171">
        <v>1</v>
      </c>
    </row>
    <row r="32" spans="1:9" x14ac:dyDescent="0.2">
      <c r="A32" s="167">
        <v>28</v>
      </c>
      <c r="B32" s="168" t="s">
        <v>50</v>
      </c>
      <c r="C32" s="169" t="s">
        <v>51</v>
      </c>
      <c r="D32" s="169" t="s">
        <v>333</v>
      </c>
      <c r="E32" s="170" t="str">
        <f>Mietstufenzuordnung!L32</f>
        <v>nV</v>
      </c>
      <c r="F32" s="170" t="s">
        <v>334</v>
      </c>
      <c r="G32" s="170" t="str">
        <f>VLOOKUP(I32,Daten!$A$5:$E$10,2)</f>
        <v xml:space="preserve">FD 56.5 - Göttingen Land </v>
      </c>
      <c r="H32" s="170" t="str">
        <f>VLOOKUP(I32,Daten!$A$5:$E$10,3)</f>
        <v>Carl-Zeiss-Straße 5, 37081 Göttingen</v>
      </c>
      <c r="I32" s="171">
        <v>1</v>
      </c>
    </row>
    <row r="33" spans="1:9" x14ac:dyDescent="0.2">
      <c r="A33" s="167">
        <v>29</v>
      </c>
      <c r="B33" s="168" t="s">
        <v>52</v>
      </c>
      <c r="C33" s="169" t="s">
        <v>53</v>
      </c>
      <c r="D33" s="169" t="s">
        <v>333</v>
      </c>
      <c r="E33" s="170" t="str">
        <f>Mietstufenzuordnung!L33</f>
        <v>nV</v>
      </c>
      <c r="F33" s="170" t="s">
        <v>334</v>
      </c>
      <c r="G33" s="170" t="str">
        <f>VLOOKUP(I33,Daten!$A$5:$E$10,2)</f>
        <v xml:space="preserve">FD 56.6 - Hann.Münden  </v>
      </c>
      <c r="H33" s="170" t="str">
        <f>VLOOKUP(I33,Daten!$A$5:$E$10,3)</f>
        <v>Auefeld 10, 34346 Hann.Münden</v>
      </c>
      <c r="I33" s="171">
        <v>4</v>
      </c>
    </row>
    <row r="34" spans="1:9" x14ac:dyDescent="0.2">
      <c r="A34" s="167">
        <v>30</v>
      </c>
      <c r="B34" s="168" t="s">
        <v>54</v>
      </c>
      <c r="C34" s="169" t="s">
        <v>55</v>
      </c>
      <c r="D34" s="169" t="s">
        <v>333</v>
      </c>
      <c r="E34" s="170" t="str">
        <f>Mietstufenzuordnung!L34</f>
        <v>nV</v>
      </c>
      <c r="F34" s="170" t="s">
        <v>334</v>
      </c>
      <c r="G34" s="170" t="str">
        <f>VLOOKUP(I34,Daten!$A$5:$E$10,2)</f>
        <v>FD 56.4 - Duderstadt</v>
      </c>
      <c r="H34" s="170" t="str">
        <f>VLOOKUP(I34,Daten!$A$5:$E$10,3)</f>
        <v>Industriestr. 16, 37115 Duderstadt</v>
      </c>
      <c r="I34" s="171">
        <v>3</v>
      </c>
    </row>
    <row r="35" spans="1:9" x14ac:dyDescent="0.2">
      <c r="A35" s="167">
        <v>31</v>
      </c>
      <c r="B35" s="168" t="s">
        <v>56</v>
      </c>
      <c r="C35" s="169" t="s">
        <v>57</v>
      </c>
      <c r="D35" s="169" t="s">
        <v>333</v>
      </c>
      <c r="E35" s="170" t="str">
        <f>Mietstufenzuordnung!L35</f>
        <v>nV</v>
      </c>
      <c r="F35" s="170" t="s">
        <v>334</v>
      </c>
      <c r="G35" s="170" t="str">
        <f>VLOOKUP(I35,Daten!$A$5:$E$10,2)</f>
        <v xml:space="preserve">FD 56.5 - Göttingen Land </v>
      </c>
      <c r="H35" s="170" t="str">
        <f>VLOOKUP(I35,Daten!$A$5:$E$10,3)</f>
        <v>Carl-Zeiss-Straße 5, 37081 Göttingen</v>
      </c>
      <c r="I35" s="171">
        <v>1</v>
      </c>
    </row>
    <row r="36" spans="1:9" x14ac:dyDescent="0.2">
      <c r="A36" s="167">
        <v>32</v>
      </c>
      <c r="B36" s="168" t="s">
        <v>58</v>
      </c>
      <c r="C36" s="169" t="s">
        <v>59</v>
      </c>
      <c r="D36" s="169" t="s">
        <v>333</v>
      </c>
      <c r="E36" s="170" t="str">
        <f>Mietstufenzuordnung!L36</f>
        <v>nV</v>
      </c>
      <c r="F36" s="170" t="s">
        <v>334</v>
      </c>
      <c r="G36" s="170" t="str">
        <f>VLOOKUP(I36,Daten!$A$5:$E$10,2)</f>
        <v xml:space="preserve">FD 56.5 - Göttingen Land </v>
      </c>
      <c r="H36" s="170" t="str">
        <f>VLOOKUP(I36,Daten!$A$5:$E$10,3)</f>
        <v>Carl-Zeiss-Straße 5, 37081 Göttingen</v>
      </c>
      <c r="I36" s="171">
        <v>1</v>
      </c>
    </row>
    <row r="37" spans="1:9" x14ac:dyDescent="0.2">
      <c r="A37" s="167">
        <v>33</v>
      </c>
      <c r="B37" s="168" t="s">
        <v>60</v>
      </c>
      <c r="C37" s="169" t="s">
        <v>61</v>
      </c>
      <c r="D37" s="169" t="s">
        <v>333</v>
      </c>
      <c r="E37" s="170" t="str">
        <f>Mietstufenzuordnung!L37</f>
        <v>nV</v>
      </c>
      <c r="F37" s="170" t="s">
        <v>334</v>
      </c>
      <c r="G37" s="170" t="str">
        <f>VLOOKUP(I37,Daten!$A$5:$E$10,2)</f>
        <v xml:space="preserve">FD 56.5 - Göttingen Land </v>
      </c>
      <c r="H37" s="170" t="str">
        <f>VLOOKUP(I37,Daten!$A$5:$E$10,3)</f>
        <v>Carl-Zeiss-Straße 5, 37081 Göttingen</v>
      </c>
      <c r="I37" s="171">
        <v>1</v>
      </c>
    </row>
    <row r="38" spans="1:9" x14ac:dyDescent="0.2">
      <c r="A38" s="167">
        <v>34</v>
      </c>
      <c r="B38" s="168" t="s">
        <v>62</v>
      </c>
      <c r="C38" s="169" t="s">
        <v>63</v>
      </c>
      <c r="D38" s="169" t="s">
        <v>333</v>
      </c>
      <c r="E38" s="170" t="str">
        <f>Mietstufenzuordnung!L38</f>
        <v>nV</v>
      </c>
      <c r="F38" s="170" t="s">
        <v>334</v>
      </c>
      <c r="G38" s="170" t="str">
        <f>VLOOKUP(I38,Daten!$A$5:$E$10,2)</f>
        <v xml:space="preserve">FD 56.5 - Göttingen Land </v>
      </c>
      <c r="H38" s="170" t="str">
        <f>VLOOKUP(I38,Daten!$A$5:$E$10,3)</f>
        <v>Carl-Zeiss-Straße 5, 37081 Göttingen</v>
      </c>
      <c r="I38" s="171">
        <v>1</v>
      </c>
    </row>
    <row r="39" spans="1:9" x14ac:dyDescent="0.2">
      <c r="A39" s="167">
        <v>35</v>
      </c>
      <c r="B39" s="168" t="s">
        <v>64</v>
      </c>
      <c r="C39" s="169" t="s">
        <v>65</v>
      </c>
      <c r="D39" s="169" t="s">
        <v>333</v>
      </c>
      <c r="E39" s="170" t="str">
        <f>Mietstufenzuordnung!L39</f>
        <v>nV</v>
      </c>
      <c r="F39" s="170" t="s">
        <v>334</v>
      </c>
      <c r="G39" s="170" t="str">
        <f>VLOOKUP(I39,Daten!$A$5:$E$10,2)</f>
        <v xml:space="preserve">FD 56.6 - Hann.Münden  </v>
      </c>
      <c r="H39" s="170" t="str">
        <f>VLOOKUP(I39,Daten!$A$5:$E$10,3)</f>
        <v>Auefeld 10, 34346 Hann.Münden</v>
      </c>
      <c r="I39" s="171">
        <v>4</v>
      </c>
    </row>
    <row r="40" spans="1:9" x14ac:dyDescent="0.2">
      <c r="A40" s="167">
        <v>36</v>
      </c>
      <c r="B40" s="168" t="s">
        <v>66</v>
      </c>
      <c r="C40" s="169" t="s">
        <v>67</v>
      </c>
      <c r="D40" s="169" t="s">
        <v>333</v>
      </c>
      <c r="E40" s="170" t="str">
        <f>Mietstufenzuordnung!L40</f>
        <v>nV</v>
      </c>
      <c r="F40" s="170" t="s">
        <v>334</v>
      </c>
      <c r="G40" s="170" t="str">
        <f>VLOOKUP(I40,Daten!$A$5:$E$10,2)</f>
        <v xml:space="preserve">FD 56.5 - Göttingen Land </v>
      </c>
      <c r="H40" s="170" t="str">
        <f>VLOOKUP(I40,Daten!$A$5:$E$10,3)</f>
        <v>Carl-Zeiss-Straße 5, 37081 Göttingen</v>
      </c>
      <c r="I40" s="171">
        <v>1</v>
      </c>
    </row>
    <row r="41" spans="1:9" x14ac:dyDescent="0.2">
      <c r="A41" s="167">
        <v>37</v>
      </c>
      <c r="B41" s="168" t="s">
        <v>68</v>
      </c>
      <c r="C41" s="169" t="s">
        <v>69</v>
      </c>
      <c r="D41" s="169" t="s">
        <v>333</v>
      </c>
      <c r="E41" s="170" t="str">
        <f>Mietstufenzuordnung!L41</f>
        <v>nV</v>
      </c>
      <c r="F41" s="170" t="s">
        <v>334</v>
      </c>
      <c r="G41" s="170" t="str">
        <f>VLOOKUP(I41,Daten!$A$5:$E$10,2)</f>
        <v xml:space="preserve">FD 56.5 - Göttingen Land </v>
      </c>
      <c r="H41" s="170" t="str">
        <f>VLOOKUP(I41,Daten!$A$5:$E$10,3)</f>
        <v>Carl-Zeiss-Straße 5, 37081 Göttingen</v>
      </c>
      <c r="I41" s="171">
        <v>1</v>
      </c>
    </row>
    <row r="42" spans="1:9" x14ac:dyDescent="0.2">
      <c r="A42" s="167">
        <v>38</v>
      </c>
      <c r="B42" s="168" t="s">
        <v>70</v>
      </c>
      <c r="C42" s="169" t="s">
        <v>71</v>
      </c>
      <c r="D42" s="169" t="s">
        <v>333</v>
      </c>
      <c r="E42" s="170" t="str">
        <f>Mietstufenzuordnung!L42</f>
        <v>nV</v>
      </c>
      <c r="F42" s="170" t="s">
        <v>334</v>
      </c>
      <c r="G42" s="170" t="str">
        <f>VLOOKUP(I42,Daten!$A$5:$E$10,2)</f>
        <v xml:space="preserve">FD 56.6 - Hann.Münden  </v>
      </c>
      <c r="H42" s="170" t="str">
        <f>VLOOKUP(I42,Daten!$A$5:$E$10,3)</f>
        <v>Auefeld 10, 34346 Hann.Münden</v>
      </c>
      <c r="I42" s="171">
        <v>4</v>
      </c>
    </row>
    <row r="43" spans="1:9" x14ac:dyDescent="0.2">
      <c r="A43" s="167">
        <v>39</v>
      </c>
      <c r="B43" s="168" t="s">
        <v>72</v>
      </c>
      <c r="C43" s="169" t="s">
        <v>73</v>
      </c>
      <c r="D43" s="169" t="s">
        <v>333</v>
      </c>
      <c r="E43" s="170" t="str">
        <f>Mietstufenzuordnung!L43</f>
        <v>nV</v>
      </c>
      <c r="F43" s="170" t="s">
        <v>334</v>
      </c>
      <c r="G43" s="170" t="str">
        <f>VLOOKUP(I43,Daten!$A$5:$E$10,2)</f>
        <v>FD 56.4 - Duderstadt</v>
      </c>
      <c r="H43" s="170" t="str">
        <f>VLOOKUP(I43,Daten!$A$5:$E$10,3)</f>
        <v>Industriestr. 16, 37115 Duderstadt</v>
      </c>
      <c r="I43" s="171">
        <v>3</v>
      </c>
    </row>
    <row r="44" spans="1:9" x14ac:dyDescent="0.2">
      <c r="A44" s="167">
        <v>40</v>
      </c>
      <c r="B44" s="168" t="s">
        <v>74</v>
      </c>
      <c r="C44" s="169" t="s">
        <v>75</v>
      </c>
      <c r="D44" s="169" t="s">
        <v>333</v>
      </c>
      <c r="E44" s="170" t="str">
        <f>Mietstufenzuordnung!L44</f>
        <v>nV</v>
      </c>
      <c r="F44" s="170" t="s">
        <v>334</v>
      </c>
      <c r="G44" s="170" t="str">
        <f>VLOOKUP(I44,Daten!$A$5:$E$10,2)</f>
        <v xml:space="preserve">FD 56.5 - Göttingen Land </v>
      </c>
      <c r="H44" s="170" t="str">
        <f>VLOOKUP(I44,Daten!$A$5:$E$10,3)</f>
        <v>Carl-Zeiss-Straße 5, 37081 Göttingen</v>
      </c>
      <c r="I44" s="171">
        <v>1</v>
      </c>
    </row>
    <row r="45" spans="1:9" x14ac:dyDescent="0.2">
      <c r="A45" s="167">
        <v>41</v>
      </c>
      <c r="B45" s="168" t="s">
        <v>76</v>
      </c>
      <c r="C45" s="169" t="s">
        <v>77</v>
      </c>
      <c r="D45" s="169" t="s">
        <v>333</v>
      </c>
      <c r="E45" s="170" t="str">
        <f>Mietstufenzuordnung!L45</f>
        <v>nV</v>
      </c>
      <c r="F45" s="170" t="s">
        <v>334</v>
      </c>
      <c r="G45" s="170" t="str">
        <f>VLOOKUP(I45,Daten!$A$5:$E$10,2)</f>
        <v xml:space="preserve">FD 56.5 - Göttingen Land </v>
      </c>
      <c r="H45" s="170" t="str">
        <f>VLOOKUP(I45,Daten!$A$5:$E$10,3)</f>
        <v>Carl-Zeiss-Straße 5, 37081 Göttingen</v>
      </c>
      <c r="I45" s="171">
        <v>1</v>
      </c>
    </row>
    <row r="46" spans="1:9" x14ac:dyDescent="0.2">
      <c r="A46" s="167">
        <v>42</v>
      </c>
      <c r="B46" s="168" t="s">
        <v>78</v>
      </c>
      <c r="C46" s="169" t="s">
        <v>79</v>
      </c>
      <c r="D46" s="169" t="s">
        <v>333</v>
      </c>
      <c r="E46" s="170" t="str">
        <f>Mietstufenzuordnung!L46</f>
        <v>nV</v>
      </c>
      <c r="F46" s="170" t="s">
        <v>334</v>
      </c>
      <c r="G46" s="170" t="str">
        <f>VLOOKUP(I46,Daten!$A$5:$E$10,2)</f>
        <v xml:space="preserve">FD 56.5 - Göttingen Land </v>
      </c>
      <c r="H46" s="170" t="str">
        <f>VLOOKUP(I46,Daten!$A$5:$E$10,3)</f>
        <v>Carl-Zeiss-Straße 5, 37081 Göttingen</v>
      </c>
      <c r="I46" s="171">
        <v>1</v>
      </c>
    </row>
    <row r="47" spans="1:9" x14ac:dyDescent="0.2">
      <c r="A47" s="167">
        <v>43</v>
      </c>
      <c r="B47" s="168" t="s">
        <v>80</v>
      </c>
      <c r="C47" s="169" t="s">
        <v>81</v>
      </c>
      <c r="D47" s="169" t="s">
        <v>333</v>
      </c>
      <c r="E47" s="170" t="str">
        <f>Mietstufenzuordnung!L47</f>
        <v>nV</v>
      </c>
      <c r="F47" s="170" t="s">
        <v>334</v>
      </c>
      <c r="G47" s="170" t="str">
        <f>VLOOKUP(I47,Daten!$A$5:$E$10,2)</f>
        <v>FD 56.4 - Duderstadt</v>
      </c>
      <c r="H47" s="170" t="str">
        <f>VLOOKUP(I47,Daten!$A$5:$E$10,3)</f>
        <v>Industriestr. 16, 37115 Duderstadt</v>
      </c>
      <c r="I47" s="171">
        <v>3</v>
      </c>
    </row>
    <row r="48" spans="1:9" x14ac:dyDescent="0.2">
      <c r="A48" s="167">
        <v>44</v>
      </c>
      <c r="B48" s="168" t="s">
        <v>82</v>
      </c>
      <c r="C48" s="169" t="s">
        <v>83</v>
      </c>
      <c r="D48" s="169" t="s">
        <v>333</v>
      </c>
      <c r="E48" s="170" t="str">
        <f>Mietstufenzuordnung!L48</f>
        <v>nV</v>
      </c>
      <c r="F48" s="170" t="s">
        <v>334</v>
      </c>
      <c r="G48" s="170" t="str">
        <f>VLOOKUP(I48,Daten!$A$5:$E$10,2)</f>
        <v xml:space="preserve">FD 56.5 - Göttingen Land </v>
      </c>
      <c r="H48" s="170" t="str">
        <f>VLOOKUP(I48,Daten!$A$5:$E$10,3)</f>
        <v>Carl-Zeiss-Straße 5, 37081 Göttingen</v>
      </c>
      <c r="I48" s="171">
        <v>1</v>
      </c>
    </row>
    <row r="49" spans="1:9" x14ac:dyDescent="0.2">
      <c r="A49" s="167">
        <v>45</v>
      </c>
      <c r="B49" s="168" t="s">
        <v>84</v>
      </c>
      <c r="C49" s="169" t="s">
        <v>85</v>
      </c>
      <c r="D49" s="169" t="s">
        <v>333</v>
      </c>
      <c r="E49" s="170" t="str">
        <f>Mietstufenzuordnung!L49</f>
        <v>nV</v>
      </c>
      <c r="F49" s="170" t="s">
        <v>334</v>
      </c>
      <c r="G49" s="170" t="str">
        <f>VLOOKUP(I49,Daten!$A$5:$E$10,2)</f>
        <v>FD 56.4 - Duderstadt</v>
      </c>
      <c r="H49" s="170" t="str">
        <f>VLOOKUP(I49,Daten!$A$5:$E$10,3)</f>
        <v>Industriestr. 16, 37115 Duderstadt</v>
      </c>
      <c r="I49" s="171">
        <v>3</v>
      </c>
    </row>
    <row r="50" spans="1:9" x14ac:dyDescent="0.2">
      <c r="A50" s="167">
        <v>46</v>
      </c>
      <c r="B50" s="168" t="s">
        <v>86</v>
      </c>
      <c r="C50" s="169" t="s">
        <v>87</v>
      </c>
      <c r="D50" s="169" t="s">
        <v>333</v>
      </c>
      <c r="E50" s="170" t="str">
        <f>Mietstufenzuordnung!L50</f>
        <v>nV</v>
      </c>
      <c r="F50" s="170" t="s">
        <v>334</v>
      </c>
      <c r="G50" s="170" t="str">
        <f>VLOOKUP(I50,Daten!$A$5:$E$10,2)</f>
        <v>FD 56.4 - Duderstadt</v>
      </c>
      <c r="H50" s="170" t="str">
        <f>VLOOKUP(I50,Daten!$A$5:$E$10,3)</f>
        <v>Industriestr. 16, 37115 Duderstadt</v>
      </c>
      <c r="I50" s="171">
        <v>3</v>
      </c>
    </row>
    <row r="51" spans="1:9" x14ac:dyDescent="0.2">
      <c r="A51" s="167">
        <v>47</v>
      </c>
      <c r="B51" s="168" t="s">
        <v>88</v>
      </c>
      <c r="C51" s="169" t="s">
        <v>89</v>
      </c>
      <c r="D51" s="169" t="s">
        <v>333</v>
      </c>
      <c r="E51" s="170" t="str">
        <f>Mietstufenzuordnung!L51</f>
        <v>nV</v>
      </c>
      <c r="F51" s="170" t="s">
        <v>334</v>
      </c>
      <c r="G51" s="170" t="str">
        <f>VLOOKUP(I51,Daten!$A$5:$E$10,2)</f>
        <v>FD 56.4 - Duderstadt</v>
      </c>
      <c r="H51" s="170" t="str">
        <f>VLOOKUP(I51,Daten!$A$5:$E$10,3)</f>
        <v>Industriestr. 16, 37115 Duderstadt</v>
      </c>
      <c r="I51" s="171">
        <v>3</v>
      </c>
    </row>
    <row r="52" spans="1:9" x14ac:dyDescent="0.2">
      <c r="A52" s="167">
        <v>48</v>
      </c>
      <c r="B52" s="168" t="s">
        <v>90</v>
      </c>
      <c r="C52" s="169" t="s">
        <v>91</v>
      </c>
      <c r="D52" s="169" t="s">
        <v>333</v>
      </c>
      <c r="E52" s="170" t="str">
        <f>Mietstufenzuordnung!L52</f>
        <v>nV</v>
      </c>
      <c r="F52" s="170" t="s">
        <v>334</v>
      </c>
      <c r="G52" s="170" t="str">
        <f>VLOOKUP(I52,Daten!$A$5:$E$10,2)</f>
        <v xml:space="preserve">FD 56.6 - Hann.Münden  </v>
      </c>
      <c r="H52" s="170" t="str">
        <f>VLOOKUP(I52,Daten!$A$5:$E$10,3)</f>
        <v>Auefeld 10, 34346 Hann.Münden</v>
      </c>
      <c r="I52" s="171">
        <v>4</v>
      </c>
    </row>
    <row r="53" spans="1:9" x14ac:dyDescent="0.2">
      <c r="A53" s="167">
        <v>49</v>
      </c>
      <c r="B53" s="168" t="s">
        <v>92</v>
      </c>
      <c r="C53" s="169" t="s">
        <v>93</v>
      </c>
      <c r="D53" s="169" t="s">
        <v>333</v>
      </c>
      <c r="E53" s="170" t="str">
        <f>Mietstufenzuordnung!L53</f>
        <v>nV</v>
      </c>
      <c r="F53" s="170" t="s">
        <v>334</v>
      </c>
      <c r="G53" s="170" t="str">
        <f>VLOOKUP(I53,Daten!$A$5:$E$10,2)</f>
        <v xml:space="preserve">FD 56.5 - Göttingen Land </v>
      </c>
      <c r="H53" s="170" t="str">
        <f>VLOOKUP(I53,Daten!$A$5:$E$10,3)</f>
        <v>Carl-Zeiss-Straße 5, 37081 Göttingen</v>
      </c>
      <c r="I53" s="171">
        <v>1</v>
      </c>
    </row>
    <row r="54" spans="1:9" x14ac:dyDescent="0.2">
      <c r="A54" s="167">
        <v>50</v>
      </c>
      <c r="B54" s="168" t="s">
        <v>94</v>
      </c>
      <c r="C54" s="169" t="s">
        <v>95</v>
      </c>
      <c r="D54" s="169" t="s">
        <v>333</v>
      </c>
      <c r="E54" s="170" t="str">
        <f>Mietstufenzuordnung!L54</f>
        <v>nV</v>
      </c>
      <c r="F54" s="170" t="s">
        <v>334</v>
      </c>
      <c r="G54" s="170" t="str">
        <f>VLOOKUP(I54,Daten!$A$5:$E$10,2)</f>
        <v xml:space="preserve">FD 56.5 - Göttingen Land </v>
      </c>
      <c r="H54" s="170" t="str">
        <f>VLOOKUP(I54,Daten!$A$5:$E$10,3)</f>
        <v>Carl-Zeiss-Straße 5, 37081 Göttingen</v>
      </c>
      <c r="I54" s="171">
        <v>1</v>
      </c>
    </row>
    <row r="55" spans="1:9" x14ac:dyDescent="0.2">
      <c r="A55" s="167">
        <v>51</v>
      </c>
      <c r="B55" s="168" t="s">
        <v>96</v>
      </c>
      <c r="C55" s="169" t="s">
        <v>97</v>
      </c>
      <c r="D55" s="169" t="s">
        <v>333</v>
      </c>
      <c r="E55" s="170" t="str">
        <f>Mietstufenzuordnung!L55</f>
        <v>nV</v>
      </c>
      <c r="F55" s="170" t="s">
        <v>334</v>
      </c>
      <c r="G55" s="170" t="str">
        <f>VLOOKUP(I55,Daten!$A$5:$E$10,2)</f>
        <v xml:space="preserve">FD 56.5 - Göttingen Land </v>
      </c>
      <c r="H55" s="170" t="str">
        <f>VLOOKUP(I55,Daten!$A$5:$E$10,3)</f>
        <v>Carl-Zeiss-Straße 5, 37081 Göttingen</v>
      </c>
      <c r="I55" s="171">
        <v>1</v>
      </c>
    </row>
    <row r="56" spans="1:9" x14ac:dyDescent="0.2">
      <c r="A56" s="167">
        <v>52</v>
      </c>
      <c r="B56" s="168" t="s">
        <v>98</v>
      </c>
      <c r="C56" s="169" t="s">
        <v>99</v>
      </c>
      <c r="D56" s="169" t="s">
        <v>333</v>
      </c>
      <c r="E56" s="170" t="str">
        <f>Mietstufenzuordnung!L56</f>
        <v>nV</v>
      </c>
      <c r="F56" s="170" t="s">
        <v>334</v>
      </c>
      <c r="G56" s="170" t="str">
        <f>VLOOKUP(I56,Daten!$A$5:$E$10,2)</f>
        <v xml:space="preserve">FD 56.6 - Hann.Münden  </v>
      </c>
      <c r="H56" s="170" t="str">
        <f>VLOOKUP(I56,Daten!$A$5:$E$10,3)</f>
        <v>Auefeld 10, 34346 Hann.Münden</v>
      </c>
      <c r="I56" s="171">
        <v>4</v>
      </c>
    </row>
    <row r="57" spans="1:9" x14ac:dyDescent="0.2">
      <c r="A57" s="167">
        <v>53</v>
      </c>
      <c r="B57" s="168" t="s">
        <v>100</v>
      </c>
      <c r="C57" s="169" t="s">
        <v>101</v>
      </c>
      <c r="D57" s="169" t="s">
        <v>333</v>
      </c>
      <c r="E57" s="170" t="str">
        <f>Mietstufenzuordnung!L57</f>
        <v>nV</v>
      </c>
      <c r="F57" s="170" t="s">
        <v>334</v>
      </c>
      <c r="G57" s="170" t="str">
        <f>VLOOKUP(I57,Daten!$A$5:$E$10,2)</f>
        <v xml:space="preserve">FD 56.5 - Göttingen Land </v>
      </c>
      <c r="H57" s="170" t="str">
        <f>VLOOKUP(I57,Daten!$A$5:$E$10,3)</f>
        <v>Carl-Zeiss-Straße 5, 37081 Göttingen</v>
      </c>
      <c r="I57" s="171">
        <v>1</v>
      </c>
    </row>
    <row r="58" spans="1:9" x14ac:dyDescent="0.2">
      <c r="A58" s="167">
        <v>54</v>
      </c>
      <c r="B58" s="168" t="s">
        <v>102</v>
      </c>
      <c r="C58" s="169" t="s">
        <v>103</v>
      </c>
      <c r="D58" s="169" t="s">
        <v>333</v>
      </c>
      <c r="E58" s="170" t="str">
        <f>Mietstufenzuordnung!L58</f>
        <v>nV</v>
      </c>
      <c r="F58" s="170" t="s">
        <v>334</v>
      </c>
      <c r="G58" s="170" t="str">
        <f>VLOOKUP(I58,Daten!$A$5:$E$10,2)</f>
        <v xml:space="preserve">FD 56.6 - Hann.Münden  </v>
      </c>
      <c r="H58" s="170" t="str">
        <f>VLOOKUP(I58,Daten!$A$5:$E$10,3)</f>
        <v>Auefeld 10, 34346 Hann.Münden</v>
      </c>
      <c r="I58" s="171">
        <v>4</v>
      </c>
    </row>
    <row r="59" spans="1:9" x14ac:dyDescent="0.2">
      <c r="A59" s="167">
        <v>55</v>
      </c>
      <c r="B59" s="168" t="s">
        <v>104</v>
      </c>
      <c r="C59" s="169" t="s">
        <v>105</v>
      </c>
      <c r="D59" s="169" t="s">
        <v>333</v>
      </c>
      <c r="E59" s="170" t="str">
        <f>Mietstufenzuordnung!L59</f>
        <v>nV</v>
      </c>
      <c r="F59" s="170" t="s">
        <v>334</v>
      </c>
      <c r="G59" s="170" t="str">
        <f>VLOOKUP(I59,Daten!$A$5:$E$10,2)</f>
        <v xml:space="preserve">FD 56.6 - Hann.Münden  </v>
      </c>
      <c r="H59" s="170" t="str">
        <f>VLOOKUP(I59,Daten!$A$5:$E$10,3)</f>
        <v>Auefeld 10, 34346 Hann.Münden</v>
      </c>
      <c r="I59" s="171">
        <v>4</v>
      </c>
    </row>
    <row r="60" spans="1:9" x14ac:dyDescent="0.2">
      <c r="A60" s="167">
        <v>56</v>
      </c>
      <c r="B60" s="168" t="s">
        <v>106</v>
      </c>
      <c r="C60" s="169" t="s">
        <v>107</v>
      </c>
      <c r="D60" s="169" t="s">
        <v>333</v>
      </c>
      <c r="E60" s="170" t="str">
        <f>Mietstufenzuordnung!L60</f>
        <v>nV</v>
      </c>
      <c r="F60" s="170" t="s">
        <v>334</v>
      </c>
      <c r="G60" s="170" t="str">
        <f>VLOOKUP(I60,Daten!$A$5:$E$10,2)</f>
        <v>FD 56.4 - Duderstadt</v>
      </c>
      <c r="H60" s="170" t="str">
        <f>VLOOKUP(I60,Daten!$A$5:$E$10,3)</f>
        <v>Industriestr. 16, 37115 Duderstadt</v>
      </c>
      <c r="I60" s="171">
        <v>3</v>
      </c>
    </row>
    <row r="61" spans="1:9" x14ac:dyDescent="0.2">
      <c r="A61" s="167">
        <v>57</v>
      </c>
      <c r="B61" s="168" t="s">
        <v>108</v>
      </c>
      <c r="C61" s="169" t="s">
        <v>109</v>
      </c>
      <c r="D61" s="169" t="s">
        <v>333</v>
      </c>
      <c r="E61" s="170" t="str">
        <f>Mietstufenzuordnung!L61</f>
        <v>nV</v>
      </c>
      <c r="F61" s="170" t="s">
        <v>334</v>
      </c>
      <c r="G61" s="170" t="str">
        <f>VLOOKUP(I61,Daten!$A$5:$E$10,2)</f>
        <v xml:space="preserve">FD 56.5 - Göttingen Land </v>
      </c>
      <c r="H61" s="170" t="str">
        <f>VLOOKUP(I61,Daten!$A$5:$E$10,3)</f>
        <v>Carl-Zeiss-Straße 5, 37081 Göttingen</v>
      </c>
      <c r="I61" s="171">
        <v>1</v>
      </c>
    </row>
    <row r="62" spans="1:9" x14ac:dyDescent="0.2">
      <c r="A62" s="167">
        <v>58</v>
      </c>
      <c r="B62" s="168" t="s">
        <v>110</v>
      </c>
      <c r="C62" s="169" t="s">
        <v>111</v>
      </c>
      <c r="D62" s="169" t="s">
        <v>333</v>
      </c>
      <c r="E62" s="170" t="str">
        <f>Mietstufenzuordnung!L62</f>
        <v>nV</v>
      </c>
      <c r="F62" s="170" t="s">
        <v>334</v>
      </c>
      <c r="G62" s="170" t="str">
        <f>VLOOKUP(I62,Daten!$A$5:$E$10,2)</f>
        <v xml:space="preserve">FD 56.6 - Hann.Münden  </v>
      </c>
      <c r="H62" s="170" t="str">
        <f>VLOOKUP(I62,Daten!$A$5:$E$10,3)</f>
        <v>Auefeld 10, 34346 Hann.Münden</v>
      </c>
      <c r="I62" s="171">
        <v>4</v>
      </c>
    </row>
    <row r="63" spans="1:9" x14ac:dyDescent="0.2">
      <c r="A63" s="167">
        <v>59</v>
      </c>
      <c r="B63" s="168" t="s">
        <v>112</v>
      </c>
      <c r="C63" s="169" t="s">
        <v>113</v>
      </c>
      <c r="D63" s="169" t="s">
        <v>333</v>
      </c>
      <c r="E63" s="170" t="str">
        <f>Mietstufenzuordnung!L63</f>
        <v>nV</v>
      </c>
      <c r="F63" s="170" t="s">
        <v>334</v>
      </c>
      <c r="G63" s="170" t="str">
        <f>VLOOKUP(I63,Daten!$A$5:$E$10,2)</f>
        <v>FD 56.4 - Duderstadt</v>
      </c>
      <c r="H63" s="170" t="str">
        <f>VLOOKUP(I63,Daten!$A$5:$E$10,3)</f>
        <v>Industriestr. 16, 37115 Duderstadt</v>
      </c>
      <c r="I63" s="171">
        <v>3</v>
      </c>
    </row>
    <row r="64" spans="1:9" x14ac:dyDescent="0.2">
      <c r="A64" s="167">
        <v>60</v>
      </c>
      <c r="B64" s="168" t="s">
        <v>114</v>
      </c>
      <c r="C64" s="169" t="s">
        <v>115</v>
      </c>
      <c r="D64" s="169" t="s">
        <v>333</v>
      </c>
      <c r="E64" s="170" t="str">
        <f>Mietstufenzuordnung!L64</f>
        <v>nV</v>
      </c>
      <c r="F64" s="170" t="s">
        <v>334</v>
      </c>
      <c r="G64" s="170" t="str">
        <f>VLOOKUP(I64,Daten!$A$5:$E$10,2)</f>
        <v xml:space="preserve">FD 56.5 - Göttingen Land </v>
      </c>
      <c r="H64" s="170" t="str">
        <f>VLOOKUP(I64,Daten!$A$5:$E$10,3)</f>
        <v>Carl-Zeiss-Straße 5, 37081 Göttingen</v>
      </c>
      <c r="I64" s="171">
        <v>1</v>
      </c>
    </row>
    <row r="65" spans="1:9" x14ac:dyDescent="0.2">
      <c r="A65" s="167">
        <v>61</v>
      </c>
      <c r="B65" s="168" t="s">
        <v>116</v>
      </c>
      <c r="C65" s="169" t="s">
        <v>117</v>
      </c>
      <c r="D65" s="169" t="s">
        <v>333</v>
      </c>
      <c r="E65" s="170" t="str">
        <f>Mietstufenzuordnung!L65</f>
        <v>nV</v>
      </c>
      <c r="F65" s="170" t="s">
        <v>334</v>
      </c>
      <c r="G65" s="170" t="str">
        <f>VLOOKUP(I65,Daten!$A$5:$E$10,2)</f>
        <v xml:space="preserve">FD 56.6 - Hann.Münden  </v>
      </c>
      <c r="H65" s="170" t="str">
        <f>VLOOKUP(I65,Daten!$A$5:$E$10,3)</f>
        <v>Auefeld 10, 34346 Hann.Münden</v>
      </c>
      <c r="I65" s="171">
        <v>4</v>
      </c>
    </row>
    <row r="66" spans="1:9" x14ac:dyDescent="0.2">
      <c r="A66" s="167">
        <v>62</v>
      </c>
      <c r="B66" s="168" t="s">
        <v>118</v>
      </c>
      <c r="C66" s="169" t="s">
        <v>119</v>
      </c>
      <c r="D66" s="169" t="s">
        <v>333</v>
      </c>
      <c r="E66" s="170" t="str">
        <f>Mietstufenzuordnung!L66</f>
        <v>nV</v>
      </c>
      <c r="F66" s="170" t="s">
        <v>334</v>
      </c>
      <c r="G66" s="170" t="str">
        <f>VLOOKUP(I66,Daten!$A$5:$E$10,2)</f>
        <v xml:space="preserve">FD 56.5 - Göttingen Land </v>
      </c>
      <c r="H66" s="170" t="str">
        <f>VLOOKUP(I66,Daten!$A$5:$E$10,3)</f>
        <v>Carl-Zeiss-Straße 5, 37081 Göttingen</v>
      </c>
      <c r="I66" s="171">
        <v>1</v>
      </c>
    </row>
    <row r="67" spans="1:9" x14ac:dyDescent="0.2">
      <c r="A67" s="167">
        <v>63</v>
      </c>
      <c r="B67" s="168" t="s">
        <v>120</v>
      </c>
      <c r="C67" s="169" t="s">
        <v>121</v>
      </c>
      <c r="D67" s="169" t="s">
        <v>333</v>
      </c>
      <c r="E67" s="170" t="str">
        <f>Mietstufenzuordnung!L67</f>
        <v>nV</v>
      </c>
      <c r="F67" s="170" t="s">
        <v>334</v>
      </c>
      <c r="G67" s="170" t="str">
        <f>VLOOKUP(I67,Daten!$A$5:$E$10,2)</f>
        <v xml:space="preserve">FD 56.5 - Göttingen Land </v>
      </c>
      <c r="H67" s="170" t="str">
        <f>VLOOKUP(I67,Daten!$A$5:$E$10,3)</f>
        <v>Carl-Zeiss-Straße 5, 37081 Göttingen</v>
      </c>
      <c r="I67" s="171">
        <v>1</v>
      </c>
    </row>
    <row r="68" spans="1:9" x14ac:dyDescent="0.2">
      <c r="A68" s="167">
        <v>64</v>
      </c>
      <c r="B68" s="168" t="s">
        <v>122</v>
      </c>
      <c r="C68" s="169" t="s">
        <v>123</v>
      </c>
      <c r="D68" s="169" t="s">
        <v>333</v>
      </c>
      <c r="E68" s="170" t="str">
        <f>Mietstufenzuordnung!L68</f>
        <v>nV</v>
      </c>
      <c r="F68" s="170" t="s">
        <v>334</v>
      </c>
      <c r="G68" s="170" t="str">
        <f>VLOOKUP(I68,Daten!$A$5:$E$10,2)</f>
        <v xml:space="preserve">FD 56.5 - Göttingen Land </v>
      </c>
      <c r="H68" s="170" t="str">
        <f>VLOOKUP(I68,Daten!$A$5:$E$10,3)</f>
        <v>Carl-Zeiss-Straße 5, 37081 Göttingen</v>
      </c>
      <c r="I68" s="171">
        <v>1</v>
      </c>
    </row>
    <row r="69" spans="1:9" x14ac:dyDescent="0.2">
      <c r="A69" s="167">
        <v>65</v>
      </c>
      <c r="B69" s="168" t="s">
        <v>124</v>
      </c>
      <c r="C69" s="169" t="s">
        <v>125</v>
      </c>
      <c r="D69" s="169" t="s">
        <v>333</v>
      </c>
      <c r="E69" s="170" t="str">
        <f>Mietstufenzuordnung!L69</f>
        <v>nV</v>
      </c>
      <c r="F69" s="170" t="s">
        <v>334</v>
      </c>
      <c r="G69" s="170" t="str">
        <f>VLOOKUP(I69,Daten!$A$5:$E$10,2)</f>
        <v xml:space="preserve">FD 56.5 - Göttingen Land </v>
      </c>
      <c r="H69" s="170" t="str">
        <f>VLOOKUP(I69,Daten!$A$5:$E$10,3)</f>
        <v>Carl-Zeiss-Straße 5, 37081 Göttingen</v>
      </c>
      <c r="I69" s="171">
        <v>1</v>
      </c>
    </row>
    <row r="70" spans="1:9" x14ac:dyDescent="0.2">
      <c r="A70" s="167">
        <v>66</v>
      </c>
      <c r="B70" s="168" t="s">
        <v>126</v>
      </c>
      <c r="C70" s="169" t="s">
        <v>127</v>
      </c>
      <c r="D70" s="169" t="s">
        <v>333</v>
      </c>
      <c r="E70" s="170" t="str">
        <f>Mietstufenzuordnung!L70</f>
        <v>nV</v>
      </c>
      <c r="F70" s="170" t="s">
        <v>334</v>
      </c>
      <c r="G70" s="170" t="str">
        <f>VLOOKUP(I70,Daten!$A$5:$E$10,2)</f>
        <v>FD 56.4 - Duderstadt</v>
      </c>
      <c r="H70" s="170" t="str">
        <f>VLOOKUP(I70,Daten!$A$5:$E$10,3)</f>
        <v>Industriestr. 16, 37115 Duderstadt</v>
      </c>
      <c r="I70" s="171">
        <v>3</v>
      </c>
    </row>
    <row r="71" spans="1:9" x14ac:dyDescent="0.2">
      <c r="A71" s="167">
        <v>67</v>
      </c>
      <c r="B71" s="168" t="s">
        <v>128</v>
      </c>
      <c r="C71" s="169" t="s">
        <v>129</v>
      </c>
      <c r="D71" s="169" t="s">
        <v>333</v>
      </c>
      <c r="E71" s="170" t="str">
        <f>Mietstufenzuordnung!L71</f>
        <v>nV</v>
      </c>
      <c r="F71" s="170" t="s">
        <v>334</v>
      </c>
      <c r="G71" s="170" t="str">
        <f>VLOOKUP(I71,Daten!$A$5:$E$10,2)</f>
        <v xml:space="preserve">FD 56.5 - Göttingen Land </v>
      </c>
      <c r="H71" s="170" t="str">
        <f>VLOOKUP(I71,Daten!$A$5:$E$10,3)</f>
        <v>Carl-Zeiss-Straße 5, 37081 Göttingen</v>
      </c>
      <c r="I71" s="171">
        <v>1</v>
      </c>
    </row>
    <row r="72" spans="1:9" x14ac:dyDescent="0.2">
      <c r="A72" s="167">
        <v>68</v>
      </c>
      <c r="B72" s="168" t="s">
        <v>130</v>
      </c>
      <c r="C72" s="169" t="s">
        <v>131</v>
      </c>
      <c r="D72" s="169" t="s">
        <v>333</v>
      </c>
      <c r="E72" s="170" t="str">
        <f>Mietstufenzuordnung!L72</f>
        <v>nV</v>
      </c>
      <c r="F72" s="170" t="s">
        <v>334</v>
      </c>
      <c r="G72" s="170" t="str">
        <f>VLOOKUP(I72,Daten!$A$5:$E$10,2)</f>
        <v xml:space="preserve">FD 56.6 - Hann.Münden  </v>
      </c>
      <c r="H72" s="170" t="str">
        <f>VLOOKUP(I72,Daten!$A$5:$E$10,3)</f>
        <v>Auefeld 10, 34346 Hann.Münden</v>
      </c>
      <c r="I72" s="171">
        <v>4</v>
      </c>
    </row>
    <row r="73" spans="1:9" x14ac:dyDescent="0.2">
      <c r="A73" s="167">
        <v>69</v>
      </c>
      <c r="B73" s="168" t="s">
        <v>132</v>
      </c>
      <c r="C73" s="169" t="s">
        <v>133</v>
      </c>
      <c r="D73" s="169" t="s">
        <v>333</v>
      </c>
      <c r="E73" s="170" t="str">
        <f>Mietstufenzuordnung!L73</f>
        <v>nV</v>
      </c>
      <c r="F73" s="170" t="s">
        <v>334</v>
      </c>
      <c r="G73" s="170" t="str">
        <f>VLOOKUP(I73,Daten!$A$5:$E$10,2)</f>
        <v>FD 56.4 - Duderstadt</v>
      </c>
      <c r="H73" s="170" t="str">
        <f>VLOOKUP(I73,Daten!$A$5:$E$10,3)</f>
        <v>Industriestr. 16, 37115 Duderstadt</v>
      </c>
      <c r="I73" s="171">
        <v>3</v>
      </c>
    </row>
    <row r="74" spans="1:9" x14ac:dyDescent="0.2">
      <c r="A74" s="167">
        <v>70</v>
      </c>
      <c r="B74" s="168" t="s">
        <v>134</v>
      </c>
      <c r="C74" s="169" t="s">
        <v>135</v>
      </c>
      <c r="D74" s="169" t="s">
        <v>333</v>
      </c>
      <c r="E74" s="170" t="str">
        <f>Mietstufenzuordnung!L74</f>
        <v>nV</v>
      </c>
      <c r="F74" s="170" t="s">
        <v>334</v>
      </c>
      <c r="G74" s="170" t="str">
        <f>VLOOKUP(I74,Daten!$A$5:$E$10,2)</f>
        <v xml:space="preserve">FD 56.6 - Hann.Münden  </v>
      </c>
      <c r="H74" s="170" t="str">
        <f>VLOOKUP(I74,Daten!$A$5:$E$10,3)</f>
        <v>Auefeld 10, 34346 Hann.Münden</v>
      </c>
      <c r="I74" s="171">
        <v>4</v>
      </c>
    </row>
    <row r="75" spans="1:9" x14ac:dyDescent="0.2">
      <c r="A75" s="167">
        <v>71</v>
      </c>
      <c r="B75" s="168" t="s">
        <v>136</v>
      </c>
      <c r="C75" s="169" t="s">
        <v>137</v>
      </c>
      <c r="D75" s="169" t="s">
        <v>333</v>
      </c>
      <c r="E75" s="170" t="str">
        <f>Mietstufenzuordnung!L75</f>
        <v>nV</v>
      </c>
      <c r="F75" s="170" t="s">
        <v>334</v>
      </c>
      <c r="G75" s="170" t="str">
        <f>VLOOKUP(I75,Daten!$A$5:$E$10,2)</f>
        <v xml:space="preserve">FD 56.5 - Göttingen Land </v>
      </c>
      <c r="H75" s="170" t="str">
        <f>VLOOKUP(I75,Daten!$A$5:$E$10,3)</f>
        <v>Carl-Zeiss-Straße 5, 37081 Göttingen</v>
      </c>
      <c r="I75" s="171">
        <v>1</v>
      </c>
    </row>
    <row r="76" spans="1:9" x14ac:dyDescent="0.2">
      <c r="A76" s="167">
        <v>72</v>
      </c>
      <c r="B76" s="168" t="s">
        <v>138</v>
      </c>
      <c r="C76" s="169" t="s">
        <v>139</v>
      </c>
      <c r="D76" s="169" t="s">
        <v>333</v>
      </c>
      <c r="E76" s="170" t="str">
        <f>Mietstufenzuordnung!L76</f>
        <v>nV</v>
      </c>
      <c r="F76" s="170" t="s">
        <v>334</v>
      </c>
      <c r="G76" s="170" t="str">
        <f>VLOOKUP(I76,Daten!$A$5:$E$10,2)</f>
        <v xml:space="preserve">FD 56.5 - Göttingen Land </v>
      </c>
      <c r="H76" s="170" t="str">
        <f>VLOOKUP(I76,Daten!$A$5:$E$10,3)</f>
        <v>Carl-Zeiss-Straße 5, 37081 Göttingen</v>
      </c>
      <c r="I76" s="171">
        <v>1</v>
      </c>
    </row>
    <row r="77" spans="1:9" x14ac:dyDescent="0.2">
      <c r="A77" s="167">
        <v>73</v>
      </c>
      <c r="B77" s="168" t="s">
        <v>140</v>
      </c>
      <c r="C77" s="169" t="s">
        <v>141</v>
      </c>
      <c r="D77" s="169" t="s">
        <v>333</v>
      </c>
      <c r="E77" s="170" t="str">
        <f>Mietstufenzuordnung!L77</f>
        <v>nV</v>
      </c>
      <c r="F77" s="170" t="s">
        <v>334</v>
      </c>
      <c r="G77" s="170" t="str">
        <f>VLOOKUP(I77,Daten!$A$5:$E$10,2)</f>
        <v xml:space="preserve">FD 56.5 - Göttingen Land </v>
      </c>
      <c r="H77" s="170" t="str">
        <f>VLOOKUP(I77,Daten!$A$5:$E$10,3)</f>
        <v>Carl-Zeiss-Straße 5, 37081 Göttingen</v>
      </c>
      <c r="I77" s="171">
        <v>1</v>
      </c>
    </row>
    <row r="78" spans="1:9" x14ac:dyDescent="0.2">
      <c r="A78" s="167">
        <v>74</v>
      </c>
      <c r="B78" s="168" t="s">
        <v>142</v>
      </c>
      <c r="C78" s="169" t="s">
        <v>143</v>
      </c>
      <c r="D78" s="169" t="s">
        <v>333</v>
      </c>
      <c r="E78" s="170" t="str">
        <f>Mietstufenzuordnung!L78</f>
        <v>nV</v>
      </c>
      <c r="F78" s="170" t="s">
        <v>334</v>
      </c>
      <c r="G78" s="170" t="str">
        <f>VLOOKUP(I78,Daten!$A$5:$E$10,2)</f>
        <v xml:space="preserve">FD 56.6 - Hann.Münden  </v>
      </c>
      <c r="H78" s="170" t="str">
        <f>VLOOKUP(I78,Daten!$A$5:$E$10,3)</f>
        <v>Auefeld 10, 34346 Hann.Münden</v>
      </c>
      <c r="I78" s="171">
        <v>4</v>
      </c>
    </row>
    <row r="79" spans="1:9" x14ac:dyDescent="0.2">
      <c r="A79" s="167">
        <v>75</v>
      </c>
      <c r="B79" s="168" t="s">
        <v>144</v>
      </c>
      <c r="C79" s="169" t="s">
        <v>145</v>
      </c>
      <c r="D79" s="169" t="s">
        <v>333</v>
      </c>
      <c r="E79" s="170" t="str">
        <f>Mietstufenzuordnung!L79</f>
        <v>nV</v>
      </c>
      <c r="F79" s="170" t="s">
        <v>334</v>
      </c>
      <c r="G79" s="170" t="str">
        <f>VLOOKUP(I79,Daten!$A$5:$E$10,2)</f>
        <v xml:space="preserve">FD 56.5 - Göttingen Land </v>
      </c>
      <c r="H79" s="170" t="str">
        <f>VLOOKUP(I79,Daten!$A$5:$E$10,3)</f>
        <v>Carl-Zeiss-Straße 5, 37081 Göttingen</v>
      </c>
      <c r="I79" s="171">
        <v>1</v>
      </c>
    </row>
    <row r="80" spans="1:9" x14ac:dyDescent="0.2">
      <c r="A80" s="167">
        <v>76</v>
      </c>
      <c r="B80" s="168" t="s">
        <v>146</v>
      </c>
      <c r="C80" s="169" t="s">
        <v>147</v>
      </c>
      <c r="D80" s="169" t="s">
        <v>333</v>
      </c>
      <c r="E80" s="170" t="str">
        <f>Mietstufenzuordnung!L80</f>
        <v>nV</v>
      </c>
      <c r="F80" s="170" t="s">
        <v>334</v>
      </c>
      <c r="G80" s="170" t="str">
        <f>VLOOKUP(I80,Daten!$A$5:$E$10,2)</f>
        <v xml:space="preserve">FD 56.6 - Hann.Münden  </v>
      </c>
      <c r="H80" s="170" t="str">
        <f>VLOOKUP(I80,Daten!$A$5:$E$10,3)</f>
        <v>Auefeld 10, 34346 Hann.Münden</v>
      </c>
      <c r="I80" s="171">
        <v>4</v>
      </c>
    </row>
    <row r="81" spans="1:9" x14ac:dyDescent="0.2">
      <c r="A81" s="167">
        <v>77</v>
      </c>
      <c r="B81" s="168" t="s">
        <v>148</v>
      </c>
      <c r="C81" s="169" t="s">
        <v>149</v>
      </c>
      <c r="D81" s="169" t="s">
        <v>333</v>
      </c>
      <c r="E81" s="170" t="str">
        <f>Mietstufenzuordnung!L81</f>
        <v>nV</v>
      </c>
      <c r="F81" s="170" t="s">
        <v>334</v>
      </c>
      <c r="G81" s="170" t="str">
        <f>VLOOKUP(I81,Daten!$A$5:$E$10,2)</f>
        <v xml:space="preserve">FD 56.5 - Göttingen Land </v>
      </c>
      <c r="H81" s="170" t="str">
        <f>VLOOKUP(I81,Daten!$A$5:$E$10,3)</f>
        <v>Carl-Zeiss-Straße 5, 37081 Göttingen</v>
      </c>
      <c r="I81" s="171">
        <v>1</v>
      </c>
    </row>
    <row r="82" spans="1:9" x14ac:dyDescent="0.2">
      <c r="A82" s="167">
        <v>78</v>
      </c>
      <c r="B82" s="168" t="s">
        <v>150</v>
      </c>
      <c r="C82" s="169" t="s">
        <v>151</v>
      </c>
      <c r="D82" s="169" t="s">
        <v>333</v>
      </c>
      <c r="E82" s="170" t="str">
        <f>Mietstufenzuordnung!L82</f>
        <v>nV</v>
      </c>
      <c r="F82" s="170" t="s">
        <v>334</v>
      </c>
      <c r="G82" s="170" t="str">
        <f>VLOOKUP(I82,Daten!$A$5:$E$10,2)</f>
        <v>FD 56.4 - Duderstadt</v>
      </c>
      <c r="H82" s="170" t="str">
        <f>VLOOKUP(I82,Daten!$A$5:$E$10,3)</f>
        <v>Industriestr. 16, 37115 Duderstadt</v>
      </c>
      <c r="I82" s="171">
        <v>3</v>
      </c>
    </row>
    <row r="83" spans="1:9" x14ac:dyDescent="0.2">
      <c r="A83" s="167">
        <v>79</v>
      </c>
      <c r="B83" s="168" t="s">
        <v>152</v>
      </c>
      <c r="C83" s="169" t="s">
        <v>153</v>
      </c>
      <c r="D83" s="169" t="s">
        <v>333</v>
      </c>
      <c r="E83" s="170" t="str">
        <f>Mietstufenzuordnung!L83</f>
        <v>nV</v>
      </c>
      <c r="F83" s="170" t="s">
        <v>334</v>
      </c>
      <c r="G83" s="170" t="str">
        <f>VLOOKUP(I83,Daten!$A$5:$E$10,2)</f>
        <v xml:space="preserve">FD 56.6 - Hann.Münden  </v>
      </c>
      <c r="H83" s="170" t="str">
        <f>VLOOKUP(I83,Daten!$A$5:$E$10,3)</f>
        <v>Auefeld 10, 34346 Hann.Münden</v>
      </c>
      <c r="I83" s="171">
        <v>4</v>
      </c>
    </row>
    <row r="84" spans="1:9" x14ac:dyDescent="0.2">
      <c r="A84" s="167">
        <v>80</v>
      </c>
      <c r="B84" s="168" t="s">
        <v>154</v>
      </c>
      <c r="C84" s="169" t="s">
        <v>155</v>
      </c>
      <c r="D84" s="169" t="s">
        <v>333</v>
      </c>
      <c r="E84" s="170" t="str">
        <f>Mietstufenzuordnung!L84</f>
        <v>nV</v>
      </c>
      <c r="F84" s="170" t="s">
        <v>334</v>
      </c>
      <c r="G84" s="170" t="str">
        <f>VLOOKUP(I84,Daten!$A$5:$E$10,2)</f>
        <v xml:space="preserve">FD 56.5 - Göttingen Land </v>
      </c>
      <c r="H84" s="170" t="str">
        <f>VLOOKUP(I84,Daten!$A$5:$E$10,3)</f>
        <v>Carl-Zeiss-Straße 5, 37081 Göttingen</v>
      </c>
      <c r="I84" s="171">
        <v>1</v>
      </c>
    </row>
    <row r="85" spans="1:9" x14ac:dyDescent="0.2">
      <c r="A85" s="167">
        <v>81</v>
      </c>
      <c r="B85" s="168" t="s">
        <v>156</v>
      </c>
      <c r="C85" s="169" t="s">
        <v>157</v>
      </c>
      <c r="D85" s="169" t="s">
        <v>333</v>
      </c>
      <c r="E85" s="170" t="str">
        <f>Mietstufenzuordnung!L85</f>
        <v>nV</v>
      </c>
      <c r="F85" s="170" t="s">
        <v>334</v>
      </c>
      <c r="G85" s="170" t="str">
        <f>VLOOKUP(I85,Daten!$A$5:$E$10,2)</f>
        <v xml:space="preserve">FD 56.6 - Hann.Münden  </v>
      </c>
      <c r="H85" s="170" t="str">
        <f>VLOOKUP(I85,Daten!$A$5:$E$10,3)</f>
        <v>Auefeld 10, 34346 Hann.Münden</v>
      </c>
      <c r="I85" s="171">
        <v>4</v>
      </c>
    </row>
    <row r="86" spans="1:9" x14ac:dyDescent="0.2">
      <c r="A86" s="167">
        <v>82</v>
      </c>
      <c r="B86" s="168" t="s">
        <v>158</v>
      </c>
      <c r="C86" s="169" t="s">
        <v>159</v>
      </c>
      <c r="D86" s="169" t="s">
        <v>333</v>
      </c>
      <c r="E86" s="170" t="str">
        <f>Mietstufenzuordnung!L86</f>
        <v>nV</v>
      </c>
      <c r="F86" s="170" t="s">
        <v>334</v>
      </c>
      <c r="G86" s="170" t="str">
        <f>VLOOKUP(I86,Daten!$A$5:$E$10,2)</f>
        <v xml:space="preserve">FD 56.5 - Göttingen Land </v>
      </c>
      <c r="H86" s="170" t="str">
        <f>VLOOKUP(I86,Daten!$A$5:$E$10,3)</f>
        <v>Carl-Zeiss-Straße 5, 37081 Göttingen</v>
      </c>
      <c r="I86" s="171">
        <v>1</v>
      </c>
    </row>
    <row r="87" spans="1:9" x14ac:dyDescent="0.2">
      <c r="A87" s="167">
        <v>83</v>
      </c>
      <c r="B87" s="168" t="s">
        <v>160</v>
      </c>
      <c r="C87" s="169" t="s">
        <v>161</v>
      </c>
      <c r="D87" s="169" t="s">
        <v>333</v>
      </c>
      <c r="E87" s="170" t="str">
        <f>Mietstufenzuordnung!L87</f>
        <v>nV</v>
      </c>
      <c r="F87" s="170" t="s">
        <v>334</v>
      </c>
      <c r="G87" s="170" t="str">
        <f>VLOOKUP(I87,Daten!$A$5:$E$10,2)</f>
        <v xml:space="preserve">FD 56.6 - Hann.Münden  </v>
      </c>
      <c r="H87" s="170" t="str">
        <f>VLOOKUP(I87,Daten!$A$5:$E$10,3)</f>
        <v>Auefeld 10, 34346 Hann.Münden</v>
      </c>
      <c r="I87" s="171">
        <v>4</v>
      </c>
    </row>
    <row r="88" spans="1:9" x14ac:dyDescent="0.2">
      <c r="A88" s="167">
        <v>84</v>
      </c>
      <c r="B88" s="168" t="s">
        <v>162</v>
      </c>
      <c r="C88" s="169" t="s">
        <v>163</v>
      </c>
      <c r="D88" s="169" t="s">
        <v>333</v>
      </c>
      <c r="E88" s="170" t="str">
        <f>Mietstufenzuordnung!L88</f>
        <v>nV</v>
      </c>
      <c r="F88" s="170" t="s">
        <v>334</v>
      </c>
      <c r="G88" s="170" t="str">
        <f>VLOOKUP(I88,Daten!$A$5:$E$10,2)</f>
        <v>FD 56.4 - Duderstadt</v>
      </c>
      <c r="H88" s="170" t="str">
        <f>VLOOKUP(I88,Daten!$A$5:$E$10,3)</f>
        <v>Industriestr. 16, 37115 Duderstadt</v>
      </c>
      <c r="I88" s="171">
        <v>3</v>
      </c>
    </row>
    <row r="89" spans="1:9" x14ac:dyDescent="0.2">
      <c r="A89" s="167">
        <v>85</v>
      </c>
      <c r="B89" s="168" t="s">
        <v>164</v>
      </c>
      <c r="C89" s="169" t="s">
        <v>165</v>
      </c>
      <c r="D89" s="169" t="s">
        <v>333</v>
      </c>
      <c r="E89" s="170" t="str">
        <f>Mietstufenzuordnung!L89</f>
        <v>nV</v>
      </c>
      <c r="F89" s="170" t="s">
        <v>334</v>
      </c>
      <c r="G89" s="170" t="str">
        <f>VLOOKUP(I89,Daten!$A$5:$E$10,2)</f>
        <v xml:space="preserve">FD 56.5 - Göttingen Land </v>
      </c>
      <c r="H89" s="170" t="str">
        <f>VLOOKUP(I89,Daten!$A$5:$E$10,3)</f>
        <v>Carl-Zeiss-Straße 5, 37081 Göttingen</v>
      </c>
      <c r="I89" s="171">
        <v>1</v>
      </c>
    </row>
    <row r="90" spans="1:9" x14ac:dyDescent="0.2">
      <c r="A90" s="167">
        <v>86</v>
      </c>
      <c r="B90" s="168" t="s">
        <v>166</v>
      </c>
      <c r="C90" s="169" t="s">
        <v>167</v>
      </c>
      <c r="D90" s="169" t="s">
        <v>333</v>
      </c>
      <c r="E90" s="170" t="str">
        <f>Mietstufenzuordnung!L90</f>
        <v>nV</v>
      </c>
      <c r="F90" s="170" t="s">
        <v>334</v>
      </c>
      <c r="G90" s="170" t="str">
        <f>VLOOKUP(I90,Daten!$A$5:$E$10,2)</f>
        <v>FD 56.4 - Duderstadt</v>
      </c>
      <c r="H90" s="170" t="str">
        <f>VLOOKUP(I90,Daten!$A$5:$E$10,3)</f>
        <v>Industriestr. 16, 37115 Duderstadt</v>
      </c>
      <c r="I90" s="171">
        <v>3</v>
      </c>
    </row>
    <row r="91" spans="1:9" x14ac:dyDescent="0.2">
      <c r="A91" s="167">
        <v>87</v>
      </c>
      <c r="B91" s="168" t="s">
        <v>168</v>
      </c>
      <c r="C91" s="169" t="s">
        <v>169</v>
      </c>
      <c r="D91" s="169" t="s">
        <v>333</v>
      </c>
      <c r="E91" s="170" t="str">
        <f>Mietstufenzuordnung!L91</f>
        <v>nV</v>
      </c>
      <c r="F91" s="170" t="s">
        <v>334</v>
      </c>
      <c r="G91" s="170" t="str">
        <f>VLOOKUP(I91,Daten!$A$5:$E$10,2)</f>
        <v xml:space="preserve">FD 56.5 - Göttingen Land </v>
      </c>
      <c r="H91" s="170" t="str">
        <f>VLOOKUP(I91,Daten!$A$5:$E$10,3)</f>
        <v>Carl-Zeiss-Straße 5, 37081 Göttingen</v>
      </c>
      <c r="I91" s="171">
        <v>1</v>
      </c>
    </row>
    <row r="92" spans="1:9" x14ac:dyDescent="0.2">
      <c r="A92" s="167">
        <v>88</v>
      </c>
      <c r="B92" s="168" t="s">
        <v>170</v>
      </c>
      <c r="C92" s="169" t="s">
        <v>171</v>
      </c>
      <c r="D92" s="169" t="s">
        <v>333</v>
      </c>
      <c r="E92" s="170" t="str">
        <f>Mietstufenzuordnung!L92</f>
        <v>nV</v>
      </c>
      <c r="F92" s="170" t="s">
        <v>334</v>
      </c>
      <c r="G92" s="170" t="str">
        <f>VLOOKUP(I92,Daten!$A$5:$E$10,2)</f>
        <v xml:space="preserve">FD 56.5 - Göttingen Land </v>
      </c>
      <c r="H92" s="170" t="str">
        <f>VLOOKUP(I92,Daten!$A$5:$E$10,3)</f>
        <v>Carl-Zeiss-Straße 5, 37081 Göttingen</v>
      </c>
      <c r="I92" s="171">
        <v>1</v>
      </c>
    </row>
    <row r="93" spans="1:9" x14ac:dyDescent="0.2">
      <c r="A93" s="167">
        <v>89</v>
      </c>
      <c r="B93" s="168" t="s">
        <v>172</v>
      </c>
      <c r="C93" s="169" t="s">
        <v>173</v>
      </c>
      <c r="D93" s="169" t="s">
        <v>333</v>
      </c>
      <c r="E93" s="170" t="str">
        <f>Mietstufenzuordnung!L93</f>
        <v>nV</v>
      </c>
      <c r="F93" s="170" t="s">
        <v>334</v>
      </c>
      <c r="G93" s="170" t="str">
        <f>VLOOKUP(I93,Daten!$A$5:$E$10,2)</f>
        <v xml:space="preserve">FD 56.6 - Hann.Münden  </v>
      </c>
      <c r="H93" s="170" t="str">
        <f>VLOOKUP(I93,Daten!$A$5:$E$10,3)</f>
        <v>Auefeld 10, 34346 Hann.Münden</v>
      </c>
      <c r="I93" s="171">
        <v>4</v>
      </c>
    </row>
    <row r="94" spans="1:9" x14ac:dyDescent="0.2">
      <c r="A94" s="167">
        <v>90</v>
      </c>
      <c r="B94" s="168" t="s">
        <v>174</v>
      </c>
      <c r="C94" s="169" t="s">
        <v>175</v>
      </c>
      <c r="D94" s="169" t="s">
        <v>333</v>
      </c>
      <c r="E94" s="170" t="str">
        <f>Mietstufenzuordnung!L94</f>
        <v>nV</v>
      </c>
      <c r="F94" s="170" t="s">
        <v>334</v>
      </c>
      <c r="G94" s="170" t="str">
        <f>VLOOKUP(I94,Daten!$A$5:$E$10,2)</f>
        <v xml:space="preserve">FD 56.6 - Hann.Münden  </v>
      </c>
      <c r="H94" s="170" t="str">
        <f>VLOOKUP(I94,Daten!$A$5:$E$10,3)</f>
        <v>Auefeld 10, 34346 Hann.Münden</v>
      </c>
      <c r="I94" s="171">
        <v>4</v>
      </c>
    </row>
    <row r="95" spans="1:9" x14ac:dyDescent="0.2">
      <c r="A95" s="167">
        <v>91</v>
      </c>
      <c r="B95" s="168" t="s">
        <v>176</v>
      </c>
      <c r="C95" s="169" t="s">
        <v>177</v>
      </c>
      <c r="D95" s="169" t="s">
        <v>333</v>
      </c>
      <c r="E95" s="170" t="str">
        <f>Mietstufenzuordnung!L95</f>
        <v>nV</v>
      </c>
      <c r="F95" s="170" t="s">
        <v>334</v>
      </c>
      <c r="G95" s="170" t="str">
        <f>VLOOKUP(I95,Daten!$A$5:$E$10,2)</f>
        <v>FD 56.4 - Duderstadt</v>
      </c>
      <c r="H95" s="170" t="str">
        <f>VLOOKUP(I95,Daten!$A$5:$E$10,3)</f>
        <v>Industriestr. 16, 37115 Duderstadt</v>
      </c>
      <c r="I95" s="171">
        <v>3</v>
      </c>
    </row>
    <row r="96" spans="1:9" x14ac:dyDescent="0.2">
      <c r="A96" s="167">
        <v>92</v>
      </c>
      <c r="B96" s="168" t="s">
        <v>178</v>
      </c>
      <c r="C96" s="169" t="s">
        <v>179</v>
      </c>
      <c r="D96" s="169" t="s">
        <v>333</v>
      </c>
      <c r="E96" s="170" t="str">
        <f>Mietstufenzuordnung!L96</f>
        <v>nV</v>
      </c>
      <c r="F96" s="170" t="s">
        <v>334</v>
      </c>
      <c r="G96" s="170" t="str">
        <f>VLOOKUP(I96,Daten!$A$5:$E$10,2)</f>
        <v xml:space="preserve">FD 56.5 - Göttingen Land </v>
      </c>
      <c r="H96" s="170" t="str">
        <f>VLOOKUP(I96,Daten!$A$5:$E$10,3)</f>
        <v>Carl-Zeiss-Straße 5, 37081 Göttingen</v>
      </c>
      <c r="I96" s="171">
        <v>1</v>
      </c>
    </row>
    <row r="97" spans="1:9" x14ac:dyDescent="0.2">
      <c r="A97" s="167">
        <v>93</v>
      </c>
      <c r="B97" s="168" t="s">
        <v>180</v>
      </c>
      <c r="C97" s="169" t="s">
        <v>181</v>
      </c>
      <c r="D97" s="169" t="s">
        <v>333</v>
      </c>
      <c r="E97" s="170" t="str">
        <f>Mietstufenzuordnung!L97</f>
        <v>nV</v>
      </c>
      <c r="F97" s="170" t="s">
        <v>334</v>
      </c>
      <c r="G97" s="170" t="str">
        <f>VLOOKUP(I97,Daten!$A$5:$E$10,2)</f>
        <v xml:space="preserve">FD 56.6 - Hann.Münden  </v>
      </c>
      <c r="H97" s="170" t="str">
        <f>VLOOKUP(I97,Daten!$A$5:$E$10,3)</f>
        <v>Auefeld 10, 34346 Hann.Münden</v>
      </c>
      <c r="I97" s="171">
        <v>4</v>
      </c>
    </row>
    <row r="98" spans="1:9" x14ac:dyDescent="0.2">
      <c r="A98" s="167">
        <v>94</v>
      </c>
      <c r="B98" s="168" t="s">
        <v>182</v>
      </c>
      <c r="C98" s="169" t="s">
        <v>183</v>
      </c>
      <c r="D98" s="169" t="s">
        <v>333</v>
      </c>
      <c r="E98" s="170" t="str">
        <f>Mietstufenzuordnung!L98</f>
        <v>nV</v>
      </c>
      <c r="F98" s="170" t="s">
        <v>334</v>
      </c>
      <c r="G98" s="170" t="str">
        <f>VLOOKUP(I98,Daten!$A$5:$E$10,2)</f>
        <v xml:space="preserve">FD 56.6 - Hann.Münden  </v>
      </c>
      <c r="H98" s="170" t="str">
        <f>VLOOKUP(I98,Daten!$A$5:$E$10,3)</f>
        <v>Auefeld 10, 34346 Hann.Münden</v>
      </c>
      <c r="I98" s="171">
        <v>4</v>
      </c>
    </row>
    <row r="99" spans="1:9" x14ac:dyDescent="0.2">
      <c r="A99" s="167">
        <v>95</v>
      </c>
      <c r="B99" s="168" t="s">
        <v>184</v>
      </c>
      <c r="C99" s="169" t="s">
        <v>185</v>
      </c>
      <c r="D99" s="169" t="s">
        <v>333</v>
      </c>
      <c r="E99" s="170" t="str">
        <f>Mietstufenzuordnung!L99</f>
        <v>nV</v>
      </c>
      <c r="F99" s="170" t="s">
        <v>334</v>
      </c>
      <c r="G99" s="170" t="str">
        <f>VLOOKUP(I99,Daten!$A$5:$E$10,2)</f>
        <v xml:space="preserve">FD 56.5 - Göttingen Land </v>
      </c>
      <c r="H99" s="170" t="str">
        <f>VLOOKUP(I99,Daten!$A$5:$E$10,3)</f>
        <v>Carl-Zeiss-Straße 5, 37081 Göttingen</v>
      </c>
      <c r="I99" s="171">
        <v>1</v>
      </c>
    </row>
    <row r="100" spans="1:9" x14ac:dyDescent="0.2">
      <c r="A100" s="167">
        <v>96</v>
      </c>
      <c r="B100" s="168" t="s">
        <v>186</v>
      </c>
      <c r="C100" s="169" t="s">
        <v>187</v>
      </c>
      <c r="D100" s="169" t="s">
        <v>333</v>
      </c>
      <c r="E100" s="170" t="str">
        <f>Mietstufenzuordnung!L100</f>
        <v>nV</v>
      </c>
      <c r="F100" s="170" t="s">
        <v>334</v>
      </c>
      <c r="G100" s="170" t="str">
        <f>VLOOKUP(I100,Daten!$A$5:$E$10,2)</f>
        <v xml:space="preserve">FD 56.5 - Göttingen Land </v>
      </c>
      <c r="H100" s="170" t="str">
        <f>VLOOKUP(I100,Daten!$A$5:$E$10,3)</f>
        <v>Carl-Zeiss-Straße 5, 37081 Göttingen</v>
      </c>
      <c r="I100" s="171">
        <v>1</v>
      </c>
    </row>
    <row r="101" spans="1:9" x14ac:dyDescent="0.2">
      <c r="A101" s="167">
        <v>97</v>
      </c>
      <c r="B101" s="168" t="s">
        <v>188</v>
      </c>
      <c r="C101" s="169" t="s">
        <v>189</v>
      </c>
      <c r="D101" s="169" t="s">
        <v>333</v>
      </c>
      <c r="E101" s="170" t="str">
        <f>Mietstufenzuordnung!L101</f>
        <v>nV</v>
      </c>
      <c r="F101" s="170" t="s">
        <v>334</v>
      </c>
      <c r="G101" s="170" t="str">
        <f>VLOOKUP(I101,Daten!$A$5:$E$10,2)</f>
        <v xml:space="preserve">FD 56.5 - Göttingen Land </v>
      </c>
      <c r="H101" s="170" t="str">
        <f>VLOOKUP(I101,Daten!$A$5:$E$10,3)</f>
        <v>Carl-Zeiss-Straße 5, 37081 Göttingen</v>
      </c>
      <c r="I101" s="171">
        <v>1</v>
      </c>
    </row>
    <row r="102" spans="1:9" x14ac:dyDescent="0.2">
      <c r="A102" s="167">
        <v>98</v>
      </c>
      <c r="B102" s="168" t="s">
        <v>190</v>
      </c>
      <c r="C102" s="169" t="s">
        <v>191</v>
      </c>
      <c r="D102" s="169" t="s">
        <v>333</v>
      </c>
      <c r="E102" s="170" t="str">
        <f>Mietstufenzuordnung!L102</f>
        <v>nV</v>
      </c>
      <c r="F102" s="170" t="s">
        <v>334</v>
      </c>
      <c r="G102" s="170" t="str">
        <f>VLOOKUP(I102,Daten!$A$5:$E$10,2)</f>
        <v xml:space="preserve">FD 56.5 - Göttingen Land </v>
      </c>
      <c r="H102" s="170" t="str">
        <f>VLOOKUP(I102,Daten!$A$5:$E$10,3)</f>
        <v>Carl-Zeiss-Straße 5, 37081 Göttingen</v>
      </c>
      <c r="I102" s="171">
        <v>1</v>
      </c>
    </row>
    <row r="103" spans="1:9" x14ac:dyDescent="0.2">
      <c r="A103" s="167">
        <v>99</v>
      </c>
      <c r="B103" s="168" t="s">
        <v>192</v>
      </c>
      <c r="C103" s="169" t="s">
        <v>193</v>
      </c>
      <c r="D103" s="169" t="s">
        <v>333</v>
      </c>
      <c r="E103" s="170" t="str">
        <f>Mietstufenzuordnung!L103</f>
        <v>nV</v>
      </c>
      <c r="F103" s="170" t="s">
        <v>334</v>
      </c>
      <c r="G103" s="170" t="str">
        <f>VLOOKUP(I103,Daten!$A$5:$E$10,2)</f>
        <v>FD 56.4 - Duderstadt</v>
      </c>
      <c r="H103" s="170" t="str">
        <f>VLOOKUP(I103,Daten!$A$5:$E$10,3)</f>
        <v>Industriestr. 16, 37115 Duderstadt</v>
      </c>
      <c r="I103" s="171">
        <v>3</v>
      </c>
    </row>
    <row r="104" spans="1:9" x14ac:dyDescent="0.2">
      <c r="A104" s="167">
        <v>100</v>
      </c>
      <c r="B104" s="168" t="s">
        <v>194</v>
      </c>
      <c r="C104" s="169" t="s">
        <v>195</v>
      </c>
      <c r="D104" s="169" t="s">
        <v>333</v>
      </c>
      <c r="E104" s="170" t="str">
        <f>Mietstufenzuordnung!L104</f>
        <v>nV</v>
      </c>
      <c r="F104" s="170" t="s">
        <v>334</v>
      </c>
      <c r="G104" s="170" t="str">
        <f>VLOOKUP(I104,Daten!$A$5:$E$10,2)</f>
        <v xml:space="preserve">FD 56.5 - Göttingen Land </v>
      </c>
      <c r="H104" s="170" t="str">
        <f>VLOOKUP(I104,Daten!$A$5:$E$10,3)</f>
        <v>Carl-Zeiss-Straße 5, 37081 Göttingen</v>
      </c>
      <c r="I104" s="171">
        <v>1</v>
      </c>
    </row>
    <row r="105" spans="1:9" x14ac:dyDescent="0.2">
      <c r="A105" s="167">
        <v>101</v>
      </c>
      <c r="B105" s="168" t="s">
        <v>196</v>
      </c>
      <c r="C105" s="169" t="s">
        <v>197</v>
      </c>
      <c r="D105" s="169" t="s">
        <v>333</v>
      </c>
      <c r="E105" s="170" t="str">
        <f>Mietstufenzuordnung!L105</f>
        <v>nV</v>
      </c>
      <c r="F105" s="170" t="s">
        <v>334</v>
      </c>
      <c r="G105" s="170" t="str">
        <f>VLOOKUP(I105,Daten!$A$5:$E$10,2)</f>
        <v>FD 56.4 - Duderstadt</v>
      </c>
      <c r="H105" s="170" t="str">
        <f>VLOOKUP(I105,Daten!$A$5:$E$10,3)</f>
        <v>Industriestr. 16, 37115 Duderstadt</v>
      </c>
      <c r="I105" s="171">
        <v>3</v>
      </c>
    </row>
    <row r="106" spans="1:9" x14ac:dyDescent="0.2">
      <c r="A106" s="167">
        <v>102</v>
      </c>
      <c r="B106" s="168" t="s">
        <v>198</v>
      </c>
      <c r="C106" s="169" t="s">
        <v>199</v>
      </c>
      <c r="D106" s="169" t="s">
        <v>333</v>
      </c>
      <c r="E106" s="170" t="str">
        <f>Mietstufenzuordnung!L106</f>
        <v>nV</v>
      </c>
      <c r="F106" s="170" t="s">
        <v>334</v>
      </c>
      <c r="G106" s="170" t="str">
        <f>VLOOKUP(I106,Daten!$A$5:$E$10,2)</f>
        <v xml:space="preserve">FD 56.5 - Göttingen Land </v>
      </c>
      <c r="H106" s="170" t="str">
        <f>VLOOKUP(I106,Daten!$A$5:$E$10,3)</f>
        <v>Carl-Zeiss-Straße 5, 37081 Göttingen</v>
      </c>
      <c r="I106" s="171">
        <v>1</v>
      </c>
    </row>
    <row r="107" spans="1:9" x14ac:dyDescent="0.2">
      <c r="A107" s="167">
        <v>103</v>
      </c>
      <c r="B107" s="168" t="s">
        <v>200</v>
      </c>
      <c r="C107" s="169" t="s">
        <v>201</v>
      </c>
      <c r="D107" s="169" t="s">
        <v>333</v>
      </c>
      <c r="E107" s="170" t="str">
        <f>Mietstufenzuordnung!L107</f>
        <v>nV</v>
      </c>
      <c r="F107" s="170" t="s">
        <v>334</v>
      </c>
      <c r="G107" s="170" t="str">
        <f>VLOOKUP(I107,Daten!$A$5:$E$10,2)</f>
        <v>FD 56.4 - Duderstadt</v>
      </c>
      <c r="H107" s="170" t="str">
        <f>VLOOKUP(I107,Daten!$A$5:$E$10,3)</f>
        <v>Industriestr. 16, 37115 Duderstadt</v>
      </c>
      <c r="I107" s="171">
        <v>3</v>
      </c>
    </row>
    <row r="108" spans="1:9" x14ac:dyDescent="0.2">
      <c r="A108" s="167">
        <v>104</v>
      </c>
      <c r="B108" s="168" t="s">
        <v>202</v>
      </c>
      <c r="C108" s="169" t="s">
        <v>203</v>
      </c>
      <c r="D108" s="169" t="s">
        <v>333</v>
      </c>
      <c r="E108" s="170" t="str">
        <f>Mietstufenzuordnung!L108</f>
        <v>nV</v>
      </c>
      <c r="F108" s="170" t="s">
        <v>334</v>
      </c>
      <c r="G108" s="170" t="str">
        <f>VLOOKUP(I108,Daten!$A$5:$E$10,2)</f>
        <v xml:space="preserve">FD 56.5 - Göttingen Land </v>
      </c>
      <c r="H108" s="170" t="str">
        <f>VLOOKUP(I108,Daten!$A$5:$E$10,3)</f>
        <v>Carl-Zeiss-Straße 5, 37081 Göttingen</v>
      </c>
      <c r="I108" s="171">
        <v>1</v>
      </c>
    </row>
    <row r="109" spans="1:9" x14ac:dyDescent="0.2">
      <c r="A109" s="167">
        <v>105</v>
      </c>
      <c r="B109" s="168" t="s">
        <v>204</v>
      </c>
      <c r="C109" s="169" t="s">
        <v>205</v>
      </c>
      <c r="D109" s="169" t="s">
        <v>333</v>
      </c>
      <c r="E109" s="170" t="str">
        <f>Mietstufenzuordnung!L109</f>
        <v>nV</v>
      </c>
      <c r="F109" s="170" t="s">
        <v>334</v>
      </c>
      <c r="G109" s="170" t="str">
        <f>VLOOKUP(I109,Daten!$A$5:$E$10,2)</f>
        <v>FD 56.4 - Duderstadt</v>
      </c>
      <c r="H109" s="170" t="str">
        <f>VLOOKUP(I109,Daten!$A$5:$E$10,3)</f>
        <v>Industriestr. 16, 37115 Duderstadt</v>
      </c>
      <c r="I109" s="171">
        <v>3</v>
      </c>
    </row>
    <row r="110" spans="1:9" x14ac:dyDescent="0.2">
      <c r="A110" s="167">
        <v>106</v>
      </c>
      <c r="B110" s="168" t="s">
        <v>206</v>
      </c>
      <c r="C110" s="169" t="s">
        <v>207</v>
      </c>
      <c r="D110" s="169" t="s">
        <v>333</v>
      </c>
      <c r="E110" s="170" t="str">
        <f>Mietstufenzuordnung!L110</f>
        <v>nV</v>
      </c>
      <c r="F110" s="170" t="s">
        <v>334</v>
      </c>
      <c r="G110" s="170" t="str">
        <f>VLOOKUP(I110,Daten!$A$5:$E$10,2)</f>
        <v xml:space="preserve">FD 56.5 - Göttingen Land </v>
      </c>
      <c r="H110" s="170" t="str">
        <f>VLOOKUP(I110,Daten!$A$5:$E$10,3)</f>
        <v>Carl-Zeiss-Straße 5, 37081 Göttingen</v>
      </c>
      <c r="I110" s="171">
        <v>1</v>
      </c>
    </row>
    <row r="111" spans="1:9" x14ac:dyDescent="0.2">
      <c r="A111" s="167">
        <v>107</v>
      </c>
      <c r="B111" s="168" t="s">
        <v>208</v>
      </c>
      <c r="C111" s="169" t="s">
        <v>209</v>
      </c>
      <c r="D111" s="169" t="s">
        <v>333</v>
      </c>
      <c r="E111" s="170" t="str">
        <f>Mietstufenzuordnung!L111</f>
        <v>nV</v>
      </c>
      <c r="F111" s="170" t="s">
        <v>334</v>
      </c>
      <c r="G111" s="170" t="str">
        <f>VLOOKUP(I111,Daten!$A$5:$E$10,2)</f>
        <v>FD 56.4 - Duderstadt</v>
      </c>
      <c r="H111" s="170" t="str">
        <f>VLOOKUP(I111,Daten!$A$5:$E$10,3)</f>
        <v>Industriestr. 16, 37115 Duderstadt</v>
      </c>
      <c r="I111" s="171">
        <v>3</v>
      </c>
    </row>
    <row r="112" spans="1:9" x14ac:dyDescent="0.2">
      <c r="A112" s="167">
        <v>108</v>
      </c>
      <c r="B112" s="168" t="s">
        <v>210</v>
      </c>
      <c r="C112" s="169" t="s">
        <v>211</v>
      </c>
      <c r="D112" s="169" t="s">
        <v>333</v>
      </c>
      <c r="E112" s="170" t="str">
        <f>Mietstufenzuordnung!L112</f>
        <v>nV</v>
      </c>
      <c r="F112" s="170" t="s">
        <v>334</v>
      </c>
      <c r="G112" s="170" t="str">
        <f>VLOOKUP(I112,Daten!$A$5:$E$10,2)</f>
        <v xml:space="preserve">FD 56.5 - Göttingen Land </v>
      </c>
      <c r="H112" s="170" t="str">
        <f>VLOOKUP(I112,Daten!$A$5:$E$10,3)</f>
        <v>Carl-Zeiss-Straße 5, 37081 Göttingen</v>
      </c>
      <c r="I112" s="171">
        <v>1</v>
      </c>
    </row>
    <row r="113" spans="1:9" x14ac:dyDescent="0.2">
      <c r="A113" s="167">
        <v>109</v>
      </c>
      <c r="B113" s="168" t="s">
        <v>212</v>
      </c>
      <c r="C113" s="169" t="s">
        <v>213</v>
      </c>
      <c r="D113" s="169" t="s">
        <v>333</v>
      </c>
      <c r="E113" s="170" t="str">
        <f>Mietstufenzuordnung!L113</f>
        <v>nV</v>
      </c>
      <c r="F113" s="170" t="s">
        <v>334</v>
      </c>
      <c r="G113" s="170" t="str">
        <f>VLOOKUP(I113,Daten!$A$5:$E$10,2)</f>
        <v>FD 56.4 - Duderstadt</v>
      </c>
      <c r="H113" s="170" t="str">
        <f>VLOOKUP(I113,Daten!$A$5:$E$10,3)</f>
        <v>Industriestr. 16, 37115 Duderstadt</v>
      </c>
      <c r="I113" s="171">
        <v>3</v>
      </c>
    </row>
    <row r="114" spans="1:9" x14ac:dyDescent="0.2">
      <c r="A114" s="167">
        <v>110</v>
      </c>
      <c r="B114" s="168" t="s">
        <v>214</v>
      </c>
      <c r="C114" s="169" t="s">
        <v>215</v>
      </c>
      <c r="D114" s="169" t="s">
        <v>333</v>
      </c>
      <c r="E114" s="170" t="str">
        <f>Mietstufenzuordnung!L114</f>
        <v>nV</v>
      </c>
      <c r="F114" s="170" t="s">
        <v>334</v>
      </c>
      <c r="G114" s="170" t="str">
        <f>VLOOKUP(I114,Daten!$A$5:$E$10,2)</f>
        <v xml:space="preserve">FD 56.6 - Hann.Münden  </v>
      </c>
      <c r="H114" s="170" t="str">
        <f>VLOOKUP(I114,Daten!$A$5:$E$10,3)</f>
        <v>Auefeld 10, 34346 Hann.Münden</v>
      </c>
      <c r="I114" s="171">
        <v>4</v>
      </c>
    </row>
    <row r="115" spans="1:9" x14ac:dyDescent="0.2">
      <c r="A115" s="167">
        <v>111</v>
      </c>
      <c r="B115" s="168" t="s">
        <v>216</v>
      </c>
      <c r="C115" s="169" t="s">
        <v>217</v>
      </c>
      <c r="D115" s="169" t="s">
        <v>333</v>
      </c>
      <c r="E115" s="170" t="str">
        <f>Mietstufenzuordnung!L115</f>
        <v>nV</v>
      </c>
      <c r="F115" s="170" t="s">
        <v>334</v>
      </c>
      <c r="G115" s="170" t="str">
        <f>VLOOKUP(I115,Daten!$A$5:$E$10,2)</f>
        <v xml:space="preserve">FD 56.5 - Göttingen Land </v>
      </c>
      <c r="H115" s="170" t="str">
        <f>VLOOKUP(I115,Daten!$A$5:$E$10,3)</f>
        <v>Carl-Zeiss-Straße 5, 37081 Göttingen</v>
      </c>
      <c r="I115" s="171">
        <v>1</v>
      </c>
    </row>
    <row r="116" spans="1:9" x14ac:dyDescent="0.2">
      <c r="A116" s="167">
        <v>112</v>
      </c>
      <c r="B116" s="168" t="s">
        <v>218</v>
      </c>
      <c r="C116" s="169" t="s">
        <v>219</v>
      </c>
      <c r="D116" s="169" t="s">
        <v>333</v>
      </c>
      <c r="E116" s="170" t="str">
        <f>Mietstufenzuordnung!L116</f>
        <v>nV</v>
      </c>
      <c r="F116" s="170" t="s">
        <v>334</v>
      </c>
      <c r="G116" s="170" t="str">
        <f>VLOOKUP(I116,Daten!$A$5:$E$10,2)</f>
        <v xml:space="preserve">FD 56.5 - Göttingen Land </v>
      </c>
      <c r="H116" s="170" t="str">
        <f>VLOOKUP(I116,Daten!$A$5:$E$10,3)</f>
        <v>Carl-Zeiss-Straße 5, 37081 Göttingen</v>
      </c>
      <c r="I116" s="171">
        <v>1</v>
      </c>
    </row>
    <row r="117" spans="1:9" x14ac:dyDescent="0.2">
      <c r="A117" s="167">
        <v>113</v>
      </c>
      <c r="B117" s="168" t="s">
        <v>220</v>
      </c>
      <c r="C117" s="169" t="s">
        <v>221</v>
      </c>
      <c r="D117" s="169" t="s">
        <v>333</v>
      </c>
      <c r="E117" s="170" t="str">
        <f>Mietstufenzuordnung!L117</f>
        <v>nV</v>
      </c>
      <c r="F117" s="170" t="s">
        <v>334</v>
      </c>
      <c r="G117" s="170" t="str">
        <f>VLOOKUP(I117,Daten!$A$5:$E$10,2)</f>
        <v xml:space="preserve">FD 56.6 - Hann.Münden  </v>
      </c>
      <c r="H117" s="170" t="str">
        <f>VLOOKUP(I117,Daten!$A$5:$E$10,3)</f>
        <v>Auefeld 10, 34346 Hann.Münden</v>
      </c>
      <c r="I117" s="171">
        <v>4</v>
      </c>
    </row>
    <row r="118" spans="1:9" x14ac:dyDescent="0.2">
      <c r="A118" s="167">
        <v>114</v>
      </c>
      <c r="B118" s="168" t="s">
        <v>222</v>
      </c>
      <c r="C118" s="169" t="s">
        <v>223</v>
      </c>
      <c r="D118" s="169" t="s">
        <v>333</v>
      </c>
      <c r="E118" s="170" t="str">
        <f>Mietstufenzuordnung!L118</f>
        <v>nV</v>
      </c>
      <c r="F118" s="170" t="s">
        <v>334</v>
      </c>
      <c r="G118" s="170" t="str">
        <f>VLOOKUP(I118,Daten!$A$5:$E$10,2)</f>
        <v xml:space="preserve">FD 56.6 - Hann.Münden  </v>
      </c>
      <c r="H118" s="170" t="str">
        <f>VLOOKUP(I118,Daten!$A$5:$E$10,3)</f>
        <v>Auefeld 10, 34346 Hann.Münden</v>
      </c>
      <c r="I118" s="171">
        <v>4</v>
      </c>
    </row>
    <row r="119" spans="1:9" x14ac:dyDescent="0.2">
      <c r="A119" s="167">
        <v>115</v>
      </c>
      <c r="B119" s="168" t="s">
        <v>224</v>
      </c>
      <c r="C119" s="169" t="s">
        <v>225</v>
      </c>
      <c r="D119" s="169" t="s">
        <v>333</v>
      </c>
      <c r="E119" s="170" t="str">
        <f>Mietstufenzuordnung!L119</f>
        <v>nV</v>
      </c>
      <c r="F119" s="170" t="s">
        <v>334</v>
      </c>
      <c r="G119" s="170" t="str">
        <f>VLOOKUP(I119,Daten!$A$5:$E$10,2)</f>
        <v xml:space="preserve">FD 56.6 - Hann.Münden  </v>
      </c>
      <c r="H119" s="170" t="str">
        <f>VLOOKUP(I119,Daten!$A$5:$E$10,3)</f>
        <v>Auefeld 10, 34346 Hann.Münden</v>
      </c>
      <c r="I119" s="171">
        <v>4</v>
      </c>
    </row>
    <row r="120" spans="1:9" x14ac:dyDescent="0.2">
      <c r="A120" s="167">
        <v>116</v>
      </c>
      <c r="B120" s="168" t="s">
        <v>226</v>
      </c>
      <c r="C120" s="169" t="s">
        <v>227</v>
      </c>
      <c r="D120" s="169" t="s">
        <v>333</v>
      </c>
      <c r="E120" s="170" t="str">
        <f>Mietstufenzuordnung!L120</f>
        <v>nV</v>
      </c>
      <c r="F120" s="170" t="s">
        <v>334</v>
      </c>
      <c r="G120" s="170" t="str">
        <f>VLOOKUP(I120,Daten!$A$5:$E$10,2)</f>
        <v xml:space="preserve">FD 56.5 - Göttingen Land </v>
      </c>
      <c r="H120" s="170" t="str">
        <f>VLOOKUP(I120,Daten!$A$5:$E$10,3)</f>
        <v>Carl-Zeiss-Straße 5, 37081 Göttingen</v>
      </c>
      <c r="I120" s="171">
        <v>1</v>
      </c>
    </row>
    <row r="121" spans="1:9" x14ac:dyDescent="0.2">
      <c r="A121" s="167">
        <v>117</v>
      </c>
      <c r="B121" s="168" t="s">
        <v>228</v>
      </c>
      <c r="C121" s="169" t="s">
        <v>229</v>
      </c>
      <c r="D121" s="169" t="s">
        <v>333</v>
      </c>
      <c r="E121" s="170" t="str">
        <f>Mietstufenzuordnung!L121</f>
        <v>nV</v>
      </c>
      <c r="F121" s="170" t="s">
        <v>334</v>
      </c>
      <c r="G121" s="170" t="str">
        <f>VLOOKUP(I121,Daten!$A$5:$E$10,2)</f>
        <v>FD 56.4 - Duderstadt</v>
      </c>
      <c r="H121" s="170" t="str">
        <f>VLOOKUP(I121,Daten!$A$5:$E$10,3)</f>
        <v>Industriestr. 16, 37115 Duderstadt</v>
      </c>
      <c r="I121" s="171">
        <v>3</v>
      </c>
    </row>
    <row r="122" spans="1:9" x14ac:dyDescent="0.2">
      <c r="A122" s="167">
        <v>118</v>
      </c>
      <c r="B122" s="168" t="s">
        <v>230</v>
      </c>
      <c r="C122" s="169" t="s">
        <v>231</v>
      </c>
      <c r="D122" s="169" t="s">
        <v>333</v>
      </c>
      <c r="E122" s="170" t="str">
        <f>Mietstufenzuordnung!L122</f>
        <v>nV</v>
      </c>
      <c r="F122" s="170" t="s">
        <v>334</v>
      </c>
      <c r="G122" s="170" t="str">
        <f>VLOOKUP(I122,Daten!$A$5:$E$10,2)</f>
        <v xml:space="preserve">FD 56.6 - Hann.Münden  </v>
      </c>
      <c r="H122" s="170" t="str">
        <f>VLOOKUP(I122,Daten!$A$5:$E$10,3)</f>
        <v>Auefeld 10, 34346 Hann.Münden</v>
      </c>
      <c r="I122" s="171">
        <v>4</v>
      </c>
    </row>
    <row r="123" spans="1:9" x14ac:dyDescent="0.2">
      <c r="A123" s="167">
        <v>119</v>
      </c>
      <c r="B123" s="168" t="s">
        <v>232</v>
      </c>
      <c r="C123" s="169" t="s">
        <v>233</v>
      </c>
      <c r="D123" s="169" t="s">
        <v>333</v>
      </c>
      <c r="E123" s="170" t="str">
        <f>Mietstufenzuordnung!L123</f>
        <v>nV</v>
      </c>
      <c r="F123" s="170" t="s">
        <v>334</v>
      </c>
      <c r="G123" s="170" t="str">
        <f>VLOOKUP(I123,Daten!$A$5:$E$10,2)</f>
        <v xml:space="preserve">FD 56.6 - Hann.Münden  </v>
      </c>
      <c r="H123" s="170" t="str">
        <f>VLOOKUP(I123,Daten!$A$5:$E$10,3)</f>
        <v>Auefeld 10, 34346 Hann.Münden</v>
      </c>
      <c r="I123" s="171">
        <v>4</v>
      </c>
    </row>
    <row r="124" spans="1:9" x14ac:dyDescent="0.2">
      <c r="A124" s="167">
        <v>120</v>
      </c>
      <c r="B124" s="168" t="s">
        <v>234</v>
      </c>
      <c r="C124" s="169" t="s">
        <v>235</v>
      </c>
      <c r="D124" s="169" t="s">
        <v>333</v>
      </c>
      <c r="E124" s="170" t="str">
        <f>Mietstufenzuordnung!L124</f>
        <v>nV</v>
      </c>
      <c r="F124" s="170" t="s">
        <v>334</v>
      </c>
      <c r="G124" s="170" t="str">
        <f>VLOOKUP(I124,Daten!$A$5:$E$10,2)</f>
        <v xml:space="preserve">FD 56.6 - Hann.Münden  </v>
      </c>
      <c r="H124" s="170" t="str">
        <f>VLOOKUP(I124,Daten!$A$5:$E$10,3)</f>
        <v>Auefeld 10, 34346 Hann.Münden</v>
      </c>
      <c r="I124" s="171">
        <v>4</v>
      </c>
    </row>
    <row r="125" spans="1:9" x14ac:dyDescent="0.2">
      <c r="A125" s="167">
        <v>121</v>
      </c>
      <c r="B125" s="168" t="s">
        <v>236</v>
      </c>
      <c r="C125" s="169" t="s">
        <v>237</v>
      </c>
      <c r="D125" s="169" t="s">
        <v>333</v>
      </c>
      <c r="E125" s="170" t="str">
        <f>Mietstufenzuordnung!L125</f>
        <v>nV</v>
      </c>
      <c r="F125" s="170" t="s">
        <v>334</v>
      </c>
      <c r="G125" s="170" t="str">
        <f>VLOOKUP(I125,Daten!$A$5:$E$10,2)</f>
        <v xml:space="preserve">FD 56.5 - Göttingen Land </v>
      </c>
      <c r="H125" s="170" t="str">
        <f>VLOOKUP(I125,Daten!$A$5:$E$10,3)</f>
        <v>Carl-Zeiss-Straße 5, 37081 Göttingen</v>
      </c>
      <c r="I125" s="171">
        <v>1</v>
      </c>
    </row>
    <row r="126" spans="1:9" x14ac:dyDescent="0.2">
      <c r="A126" s="167">
        <v>122</v>
      </c>
      <c r="B126" s="168" t="s">
        <v>238</v>
      </c>
      <c r="C126" s="169" t="s">
        <v>239</v>
      </c>
      <c r="D126" s="169" t="s">
        <v>333</v>
      </c>
      <c r="E126" s="170" t="str">
        <f>Mietstufenzuordnung!L126</f>
        <v>nV</v>
      </c>
      <c r="F126" s="170" t="s">
        <v>334</v>
      </c>
      <c r="G126" s="170" t="str">
        <f>VLOOKUP(I126,Daten!$A$5:$E$10,2)</f>
        <v xml:space="preserve">FD 56.6 - Hann.Münden  </v>
      </c>
      <c r="H126" s="170" t="str">
        <f>VLOOKUP(I126,Daten!$A$5:$E$10,3)</f>
        <v>Auefeld 10, 34346 Hann.Münden</v>
      </c>
      <c r="I126" s="171">
        <v>4</v>
      </c>
    </row>
    <row r="127" spans="1:9" x14ac:dyDescent="0.2">
      <c r="A127" s="167">
        <v>123</v>
      </c>
      <c r="B127" s="168" t="s">
        <v>240</v>
      </c>
      <c r="C127" s="169" t="s">
        <v>241</v>
      </c>
      <c r="D127" s="169" t="s">
        <v>333</v>
      </c>
      <c r="E127" s="170" t="str">
        <f>Mietstufenzuordnung!L127</f>
        <v>nV</v>
      </c>
      <c r="F127" s="170" t="s">
        <v>334</v>
      </c>
      <c r="G127" s="170" t="str">
        <f>VLOOKUP(I127,Daten!$A$5:$E$10,2)</f>
        <v xml:space="preserve">FD 56.5 - Göttingen Land </v>
      </c>
      <c r="H127" s="170" t="str">
        <f>VLOOKUP(I127,Daten!$A$5:$E$10,3)</f>
        <v>Carl-Zeiss-Straße 5, 37081 Göttingen</v>
      </c>
      <c r="I127" s="171">
        <v>1</v>
      </c>
    </row>
    <row r="128" spans="1:9" x14ac:dyDescent="0.2">
      <c r="A128" s="167">
        <v>124</v>
      </c>
      <c r="B128" s="168" t="s">
        <v>242</v>
      </c>
      <c r="C128" s="169" t="s">
        <v>243</v>
      </c>
      <c r="D128" s="169" t="s">
        <v>333</v>
      </c>
      <c r="E128" s="170" t="str">
        <f>Mietstufenzuordnung!L128</f>
        <v>nV</v>
      </c>
      <c r="F128" s="170" t="s">
        <v>334</v>
      </c>
      <c r="G128" s="170" t="str">
        <f>VLOOKUP(I128,Daten!$A$5:$E$10,2)</f>
        <v xml:space="preserve">FD 56.5 - Göttingen Land </v>
      </c>
      <c r="H128" s="170" t="str">
        <f>VLOOKUP(I128,Daten!$A$5:$E$10,3)</f>
        <v>Carl-Zeiss-Straße 5, 37081 Göttingen</v>
      </c>
      <c r="I128" s="171">
        <v>1</v>
      </c>
    </row>
    <row r="129" spans="1:9" x14ac:dyDescent="0.2">
      <c r="A129" s="167">
        <v>125</v>
      </c>
      <c r="B129" s="168" t="s">
        <v>244</v>
      </c>
      <c r="C129" s="169" t="s">
        <v>245</v>
      </c>
      <c r="D129" s="169" t="s">
        <v>333</v>
      </c>
      <c r="E129" s="170" t="str">
        <f>Mietstufenzuordnung!L129</f>
        <v>nV</v>
      </c>
      <c r="F129" s="170" t="s">
        <v>334</v>
      </c>
      <c r="G129" s="170" t="str">
        <f>VLOOKUP(I129,Daten!$A$5:$E$10,2)</f>
        <v>FD 56.4 - Duderstadt</v>
      </c>
      <c r="H129" s="170" t="str">
        <f>VLOOKUP(I129,Daten!$A$5:$E$10,3)</f>
        <v>Industriestr. 16, 37115 Duderstadt</v>
      </c>
      <c r="I129" s="171">
        <v>3</v>
      </c>
    </row>
    <row r="130" spans="1:9" x14ac:dyDescent="0.2">
      <c r="A130" s="167">
        <v>126</v>
      </c>
      <c r="B130" s="168" t="s">
        <v>246</v>
      </c>
      <c r="C130" s="169" t="s">
        <v>247</v>
      </c>
      <c r="D130" s="169" t="s">
        <v>333</v>
      </c>
      <c r="E130" s="170" t="str">
        <f>Mietstufenzuordnung!L130</f>
        <v>nV</v>
      </c>
      <c r="F130" s="170" t="s">
        <v>334</v>
      </c>
      <c r="G130" s="170" t="str">
        <f>VLOOKUP(I130,Daten!$A$5:$E$10,2)</f>
        <v>FD 56.4 - Duderstadt</v>
      </c>
      <c r="H130" s="170" t="str">
        <f>VLOOKUP(I130,Daten!$A$5:$E$10,3)</f>
        <v>Industriestr. 16, 37115 Duderstadt</v>
      </c>
      <c r="I130" s="171">
        <v>3</v>
      </c>
    </row>
    <row r="131" spans="1:9" x14ac:dyDescent="0.2">
      <c r="A131" s="167">
        <v>127</v>
      </c>
      <c r="B131" s="168" t="s">
        <v>248</v>
      </c>
      <c r="C131" s="169" t="s">
        <v>249</v>
      </c>
      <c r="D131" s="169" t="s">
        <v>333</v>
      </c>
      <c r="E131" s="170" t="str">
        <f>Mietstufenzuordnung!L131</f>
        <v>nV</v>
      </c>
      <c r="F131" s="170" t="s">
        <v>334</v>
      </c>
      <c r="G131" s="170" t="str">
        <f>VLOOKUP(I131,Daten!$A$5:$E$10,2)</f>
        <v xml:space="preserve">FD 56.5 - Göttingen Land </v>
      </c>
      <c r="H131" s="170" t="str">
        <f>VLOOKUP(I131,Daten!$A$5:$E$10,3)</f>
        <v>Carl-Zeiss-Straße 5, 37081 Göttingen</v>
      </c>
      <c r="I131" s="171">
        <v>1</v>
      </c>
    </row>
    <row r="132" spans="1:9" x14ac:dyDescent="0.2">
      <c r="A132" s="167">
        <v>128</v>
      </c>
      <c r="B132" s="168" t="s">
        <v>250</v>
      </c>
      <c r="C132" s="169" t="s">
        <v>251</v>
      </c>
      <c r="D132" s="169" t="s">
        <v>333</v>
      </c>
      <c r="E132" s="170" t="str">
        <f>Mietstufenzuordnung!L132</f>
        <v>nV</v>
      </c>
      <c r="F132" s="170" t="s">
        <v>334</v>
      </c>
      <c r="G132" s="170" t="str">
        <f>VLOOKUP(I132,Daten!$A$5:$E$10,2)</f>
        <v xml:space="preserve">FD 56.6 - Hann.Münden  </v>
      </c>
      <c r="H132" s="170" t="str">
        <f>VLOOKUP(I132,Daten!$A$5:$E$10,3)</f>
        <v>Auefeld 10, 34346 Hann.Münden</v>
      </c>
      <c r="I132" s="171">
        <v>4</v>
      </c>
    </row>
    <row r="133" spans="1:9" x14ac:dyDescent="0.2">
      <c r="A133" s="167">
        <v>129</v>
      </c>
      <c r="B133" s="168" t="s">
        <v>341</v>
      </c>
      <c r="C133" s="169" t="s">
        <v>338</v>
      </c>
      <c r="D133" s="169" t="s">
        <v>333</v>
      </c>
      <c r="E133" s="170" t="str">
        <f>Mietstufenzuordnung!L133</f>
        <v>nV</v>
      </c>
      <c r="F133" s="170" t="s">
        <v>334</v>
      </c>
      <c r="G133" s="170" t="str">
        <f>VLOOKUP(I133,Daten!$A$5:$E$10,2)</f>
        <v xml:space="preserve">FD 56.5 - Göttingen Land </v>
      </c>
      <c r="H133" s="170" t="str">
        <f>VLOOKUP(I133,Daten!$A$5:$E$10,3)</f>
        <v>Carl-Zeiss-Straße 5, 37081 Göttingen</v>
      </c>
      <c r="I133" s="171">
        <v>1</v>
      </c>
    </row>
    <row r="134" spans="1:9" x14ac:dyDescent="0.2">
      <c r="A134" s="167">
        <v>130</v>
      </c>
      <c r="B134" s="168" t="s">
        <v>252</v>
      </c>
      <c r="C134" s="169" t="s">
        <v>253</v>
      </c>
      <c r="D134" s="169" t="s">
        <v>333</v>
      </c>
      <c r="E134" s="170" t="str">
        <f>Mietstufenzuordnung!L134</f>
        <v>nV</v>
      </c>
      <c r="F134" s="170" t="s">
        <v>334</v>
      </c>
      <c r="G134" s="170" t="str">
        <f>VLOOKUP(I134,Daten!$A$5:$E$10,2)</f>
        <v>FD 56.4 - Duderstadt</v>
      </c>
      <c r="H134" s="170" t="str">
        <f>VLOOKUP(I134,Daten!$A$5:$E$10,3)</f>
        <v>Industriestr. 16, 37115 Duderstadt</v>
      </c>
      <c r="I134" s="171">
        <v>3</v>
      </c>
    </row>
    <row r="135" spans="1:9" x14ac:dyDescent="0.2">
      <c r="A135" s="167">
        <v>131</v>
      </c>
      <c r="B135" s="168" t="s">
        <v>254</v>
      </c>
      <c r="C135" s="169" t="s">
        <v>255</v>
      </c>
      <c r="D135" s="169" t="s">
        <v>333</v>
      </c>
      <c r="E135" s="170" t="str">
        <f>Mietstufenzuordnung!L135</f>
        <v>nV</v>
      </c>
      <c r="F135" s="170" t="s">
        <v>334</v>
      </c>
      <c r="G135" s="170" t="str">
        <f>VLOOKUP(I135,Daten!$A$5:$E$10,2)</f>
        <v>FD 56.4 - Duderstadt</v>
      </c>
      <c r="H135" s="170" t="str">
        <f>VLOOKUP(I135,Daten!$A$5:$E$10,3)</f>
        <v>Industriestr. 16, 37115 Duderstadt</v>
      </c>
      <c r="I135" s="171">
        <v>3</v>
      </c>
    </row>
    <row r="136" spans="1:9" x14ac:dyDescent="0.2">
      <c r="A136" s="167">
        <v>132</v>
      </c>
      <c r="B136" s="172" t="s">
        <v>256</v>
      </c>
      <c r="C136" s="173" t="s">
        <v>257</v>
      </c>
      <c r="D136" s="169" t="s">
        <v>333</v>
      </c>
      <c r="E136" s="170" t="str">
        <f>Mietstufenzuordnung!L136</f>
        <v>nV</v>
      </c>
      <c r="F136" s="170" t="s">
        <v>334</v>
      </c>
      <c r="G136" s="170" t="str">
        <f>VLOOKUP(I136,Daten!$A$5:$E$10,2)</f>
        <v>FB 52 - Stadt Göttingen</v>
      </c>
      <c r="H136" s="170" t="str">
        <f>VLOOKUP(I136,Daten!$A$5:$E$10,3)</f>
        <v>Hiroshimaplatz 1-4, 37083 Göttingen</v>
      </c>
      <c r="I136" s="171">
        <v>2</v>
      </c>
    </row>
    <row r="137" spans="1:9" x14ac:dyDescent="0.2">
      <c r="A137" s="167">
        <v>133</v>
      </c>
      <c r="B137" s="172" t="s">
        <v>258</v>
      </c>
      <c r="C137" s="169" t="s">
        <v>259</v>
      </c>
      <c r="D137" s="169" t="s">
        <v>333</v>
      </c>
      <c r="E137" s="170" t="str">
        <f>Mietstufenzuordnung!L137</f>
        <v>nV</v>
      </c>
      <c r="F137" s="170" t="s">
        <v>334</v>
      </c>
      <c r="G137" s="170" t="str">
        <f>VLOOKUP(I137,Daten!$A$5:$E$10,2)</f>
        <v xml:space="preserve">FD 56.7 - Osterode  </v>
      </c>
      <c r="H137" s="170" t="str">
        <f>VLOOKUP(I137,Daten!$A$5:$E$10,3)</f>
        <v>Gipsmühle 2-4, 37520 Osterode</v>
      </c>
      <c r="I137" s="171">
        <v>5</v>
      </c>
    </row>
    <row r="138" spans="1:9" x14ac:dyDescent="0.2">
      <c r="A138" s="167">
        <v>134</v>
      </c>
      <c r="B138" s="172" t="s">
        <v>260</v>
      </c>
      <c r="C138" s="173" t="s">
        <v>261</v>
      </c>
      <c r="D138" s="169" t="s">
        <v>333</v>
      </c>
      <c r="E138" s="170" t="str">
        <f>Mietstufenzuordnung!L138</f>
        <v>nV</v>
      </c>
      <c r="F138" s="170" t="s">
        <v>334</v>
      </c>
      <c r="G138" s="170" t="str">
        <f>VLOOKUP(I138,Daten!$A$5:$E$10,2)</f>
        <v xml:space="preserve">FD 56.7 - Osterode  </v>
      </c>
      <c r="H138" s="170" t="str">
        <f>VLOOKUP(I138,Daten!$A$5:$E$10,3)</f>
        <v>Gipsmühle 2-4, 37520 Osterode</v>
      </c>
      <c r="I138" s="171">
        <v>5</v>
      </c>
    </row>
    <row r="139" spans="1:9" x14ac:dyDescent="0.2">
      <c r="A139" s="167">
        <v>135</v>
      </c>
      <c r="B139" s="172" t="s">
        <v>262</v>
      </c>
      <c r="C139" s="173" t="s">
        <v>263</v>
      </c>
      <c r="D139" s="169" t="s">
        <v>333</v>
      </c>
      <c r="E139" s="170" t="str">
        <f>Mietstufenzuordnung!L139</f>
        <v>nV</v>
      </c>
      <c r="F139" s="170" t="s">
        <v>334</v>
      </c>
      <c r="G139" s="170" t="str">
        <f>VLOOKUP(I139,Daten!$A$5:$E$10,2)</f>
        <v xml:space="preserve">FD 56.7 - Osterode  </v>
      </c>
      <c r="H139" s="170" t="str">
        <f>VLOOKUP(I139,Daten!$A$5:$E$10,3)</f>
        <v>Gipsmühle 2-4, 37520 Osterode</v>
      </c>
      <c r="I139" s="171">
        <v>5</v>
      </c>
    </row>
    <row r="140" spans="1:9" x14ac:dyDescent="0.2">
      <c r="A140" s="167">
        <v>136</v>
      </c>
      <c r="B140" s="172" t="s">
        <v>264</v>
      </c>
      <c r="C140" s="173" t="s">
        <v>265</v>
      </c>
      <c r="D140" s="169" t="s">
        <v>333</v>
      </c>
      <c r="E140" s="170" t="str">
        <f>Mietstufenzuordnung!L140</f>
        <v>nV</v>
      </c>
      <c r="F140" s="170" t="s">
        <v>334</v>
      </c>
      <c r="G140" s="170" t="str">
        <f>VLOOKUP(I140,Daten!$A$5:$E$10,2)</f>
        <v xml:space="preserve">FD 56.7 - Osterode  </v>
      </c>
      <c r="H140" s="170" t="str">
        <f>VLOOKUP(I140,Daten!$A$5:$E$10,3)</f>
        <v>Gipsmühle 2-4, 37520 Osterode</v>
      </c>
      <c r="I140" s="171">
        <v>5</v>
      </c>
    </row>
    <row r="141" spans="1:9" x14ac:dyDescent="0.2">
      <c r="A141" s="167">
        <v>137</v>
      </c>
      <c r="B141" s="172" t="s">
        <v>266</v>
      </c>
      <c r="C141" s="173" t="s">
        <v>267</v>
      </c>
      <c r="D141" s="169" t="s">
        <v>333</v>
      </c>
      <c r="E141" s="170" t="str">
        <f>Mietstufenzuordnung!L141</f>
        <v>nV</v>
      </c>
      <c r="F141" s="170" t="s">
        <v>334</v>
      </c>
      <c r="G141" s="170" t="str">
        <f>VLOOKUP(I141,Daten!$A$5:$E$10,2)</f>
        <v xml:space="preserve">FD 56.7 - Osterode  </v>
      </c>
      <c r="H141" s="170" t="str">
        <f>VLOOKUP(I141,Daten!$A$5:$E$10,3)</f>
        <v>Gipsmühle 2-4, 37520 Osterode</v>
      </c>
      <c r="I141" s="171">
        <v>5</v>
      </c>
    </row>
    <row r="142" spans="1:9" x14ac:dyDescent="0.2">
      <c r="A142" s="167">
        <v>138</v>
      </c>
      <c r="B142" s="172" t="s">
        <v>268</v>
      </c>
      <c r="C142" s="173" t="s">
        <v>269</v>
      </c>
      <c r="D142" s="169" t="s">
        <v>333</v>
      </c>
      <c r="E142" s="170" t="str">
        <f>Mietstufenzuordnung!L142</f>
        <v>nV</v>
      </c>
      <c r="F142" s="170" t="s">
        <v>334</v>
      </c>
      <c r="G142" s="170" t="str">
        <f>VLOOKUP(I142,Daten!$A$5:$E$10,2)</f>
        <v xml:space="preserve">FD 56.7 - Osterode  </v>
      </c>
      <c r="H142" s="170" t="str">
        <f>VLOOKUP(I142,Daten!$A$5:$E$10,3)</f>
        <v>Gipsmühle 2-4, 37520 Osterode</v>
      </c>
      <c r="I142" s="171">
        <v>5</v>
      </c>
    </row>
    <row r="143" spans="1:9" x14ac:dyDescent="0.2">
      <c r="A143" s="167">
        <v>139</v>
      </c>
      <c r="B143" s="172" t="s">
        <v>270</v>
      </c>
      <c r="C143" s="173" t="s">
        <v>271</v>
      </c>
      <c r="D143" s="169" t="s">
        <v>333</v>
      </c>
      <c r="E143" s="170" t="str">
        <f>Mietstufenzuordnung!L143</f>
        <v>nV</v>
      </c>
      <c r="F143" s="170" t="s">
        <v>334</v>
      </c>
      <c r="G143" s="170" t="str">
        <f>VLOOKUP(I143,Daten!$A$5:$E$10,2)</f>
        <v xml:space="preserve">FD 56.7 - Osterode  </v>
      </c>
      <c r="H143" s="170" t="str">
        <f>VLOOKUP(I143,Daten!$A$5:$E$10,3)</f>
        <v>Gipsmühle 2-4, 37520 Osterode</v>
      </c>
      <c r="I143" s="171">
        <v>5</v>
      </c>
    </row>
    <row r="144" spans="1:9" x14ac:dyDescent="0.2">
      <c r="A144" s="167">
        <v>140</v>
      </c>
      <c r="B144" s="172" t="s">
        <v>272</v>
      </c>
      <c r="C144" s="173" t="s">
        <v>273</v>
      </c>
      <c r="D144" s="169" t="s">
        <v>333</v>
      </c>
      <c r="E144" s="170" t="str">
        <f>Mietstufenzuordnung!L144</f>
        <v>nV</v>
      </c>
      <c r="F144" s="170" t="s">
        <v>334</v>
      </c>
      <c r="G144" s="170" t="str">
        <f>VLOOKUP(I144,Daten!$A$5:$E$10,2)</f>
        <v xml:space="preserve">FD 56.7 - Osterode  </v>
      </c>
      <c r="H144" s="170" t="str">
        <f>VLOOKUP(I144,Daten!$A$5:$E$10,3)</f>
        <v>Gipsmühle 2-4, 37520 Osterode</v>
      </c>
      <c r="I144" s="171">
        <v>5</v>
      </c>
    </row>
    <row r="145" spans="1:9" x14ac:dyDescent="0.2">
      <c r="A145" s="167">
        <v>141</v>
      </c>
      <c r="B145" s="172" t="s">
        <v>274</v>
      </c>
      <c r="C145" s="173" t="s">
        <v>275</v>
      </c>
      <c r="D145" s="169" t="s">
        <v>333</v>
      </c>
      <c r="E145" s="170" t="str">
        <f>Mietstufenzuordnung!L145</f>
        <v>nV</v>
      </c>
      <c r="F145" s="170" t="s">
        <v>334</v>
      </c>
      <c r="G145" s="170" t="str">
        <f>VLOOKUP(I145,Daten!$A$5:$E$10,2)</f>
        <v xml:space="preserve">FD 56.7 - Osterode  </v>
      </c>
      <c r="H145" s="170" t="str">
        <f>VLOOKUP(I145,Daten!$A$5:$E$10,3)</f>
        <v>Gipsmühle 2-4, 37520 Osterode</v>
      </c>
      <c r="I145" s="171">
        <v>5</v>
      </c>
    </row>
    <row r="146" spans="1:9" x14ac:dyDescent="0.2">
      <c r="A146" s="167">
        <v>142</v>
      </c>
      <c r="B146" s="172" t="s">
        <v>276</v>
      </c>
      <c r="C146" s="173" t="s">
        <v>277</v>
      </c>
      <c r="D146" s="169" t="s">
        <v>333</v>
      </c>
      <c r="E146" s="170" t="str">
        <f>Mietstufenzuordnung!L146</f>
        <v>nV</v>
      </c>
      <c r="F146" s="170" t="s">
        <v>334</v>
      </c>
      <c r="G146" s="170" t="str">
        <f>VLOOKUP(I146,Daten!$A$5:$E$10,2)</f>
        <v xml:space="preserve">FD 56.7 - Osterode  </v>
      </c>
      <c r="H146" s="170" t="str">
        <f>VLOOKUP(I146,Daten!$A$5:$E$10,3)</f>
        <v>Gipsmühle 2-4, 37520 Osterode</v>
      </c>
      <c r="I146" s="171">
        <v>5</v>
      </c>
    </row>
    <row r="147" spans="1:9" x14ac:dyDescent="0.2">
      <c r="A147" s="167">
        <v>143</v>
      </c>
      <c r="B147" s="172" t="s">
        <v>278</v>
      </c>
      <c r="C147" s="173" t="s">
        <v>279</v>
      </c>
      <c r="D147" s="169" t="s">
        <v>333</v>
      </c>
      <c r="E147" s="170" t="str">
        <f>Mietstufenzuordnung!L147</f>
        <v>nV</v>
      </c>
      <c r="F147" s="170" t="s">
        <v>334</v>
      </c>
      <c r="G147" s="170" t="str">
        <f>VLOOKUP(I147,Daten!$A$5:$E$10,2)</f>
        <v xml:space="preserve">FD 56.7 - Osterode  </v>
      </c>
      <c r="H147" s="170" t="str">
        <f>VLOOKUP(I147,Daten!$A$5:$E$10,3)</f>
        <v>Gipsmühle 2-4, 37520 Osterode</v>
      </c>
      <c r="I147" s="171">
        <v>5</v>
      </c>
    </row>
    <row r="148" spans="1:9" x14ac:dyDescent="0.2">
      <c r="A148" s="167">
        <v>144</v>
      </c>
      <c r="B148" s="172" t="s">
        <v>280</v>
      </c>
      <c r="C148" s="173" t="s">
        <v>281</v>
      </c>
      <c r="D148" s="169" t="s">
        <v>333</v>
      </c>
      <c r="E148" s="170" t="str">
        <f>Mietstufenzuordnung!L148</f>
        <v>nV</v>
      </c>
      <c r="F148" s="170" t="s">
        <v>334</v>
      </c>
      <c r="G148" s="170" t="str">
        <f>VLOOKUP(I148,Daten!$A$5:$E$10,2)</f>
        <v xml:space="preserve">FD 56.7 - Osterode  </v>
      </c>
      <c r="H148" s="170" t="str">
        <f>VLOOKUP(I148,Daten!$A$5:$E$10,3)</f>
        <v>Gipsmühle 2-4, 37520 Osterode</v>
      </c>
      <c r="I148" s="171">
        <v>5</v>
      </c>
    </row>
    <row r="149" spans="1:9" x14ac:dyDescent="0.2">
      <c r="A149" s="167">
        <v>145</v>
      </c>
      <c r="B149" s="172" t="s">
        <v>282</v>
      </c>
      <c r="C149" s="173" t="s">
        <v>283</v>
      </c>
      <c r="D149" s="169" t="s">
        <v>333</v>
      </c>
      <c r="E149" s="170" t="str">
        <f>Mietstufenzuordnung!L149</f>
        <v>nV</v>
      </c>
      <c r="F149" s="170" t="s">
        <v>334</v>
      </c>
      <c r="G149" s="170" t="str">
        <f>VLOOKUP(I149,Daten!$A$5:$E$10,2)</f>
        <v xml:space="preserve">FD 56.7 - Osterode  </v>
      </c>
      <c r="H149" s="170" t="str">
        <f>VLOOKUP(I149,Daten!$A$5:$E$10,3)</f>
        <v>Gipsmühle 2-4, 37520 Osterode</v>
      </c>
      <c r="I149" s="171">
        <v>5</v>
      </c>
    </row>
    <row r="150" spans="1:9" x14ac:dyDescent="0.2">
      <c r="A150" s="167">
        <v>146</v>
      </c>
      <c r="B150" s="172" t="s">
        <v>284</v>
      </c>
      <c r="C150" s="173" t="s">
        <v>285</v>
      </c>
      <c r="D150" s="169" t="s">
        <v>333</v>
      </c>
      <c r="E150" s="170" t="str">
        <f>Mietstufenzuordnung!L150</f>
        <v>nV</v>
      </c>
      <c r="F150" s="170" t="s">
        <v>334</v>
      </c>
      <c r="G150" s="170" t="str">
        <f>VLOOKUP(I150,Daten!$A$5:$E$10,2)</f>
        <v xml:space="preserve">FD 56.7 - Osterode  </v>
      </c>
      <c r="H150" s="170" t="str">
        <f>VLOOKUP(I150,Daten!$A$5:$E$10,3)</f>
        <v>Gipsmühle 2-4, 37520 Osterode</v>
      </c>
      <c r="I150" s="171">
        <v>5</v>
      </c>
    </row>
    <row r="151" spans="1:9" x14ac:dyDescent="0.2">
      <c r="A151" s="167">
        <v>147</v>
      </c>
      <c r="B151" s="172" t="s">
        <v>286</v>
      </c>
      <c r="C151" s="173" t="s">
        <v>287</v>
      </c>
      <c r="D151" s="169" t="s">
        <v>333</v>
      </c>
      <c r="E151" s="170" t="str">
        <f>Mietstufenzuordnung!L151</f>
        <v>nV</v>
      </c>
      <c r="F151" s="170" t="s">
        <v>334</v>
      </c>
      <c r="G151" s="170" t="str">
        <f>VLOOKUP(I151,Daten!$A$5:$E$10,2)</f>
        <v xml:space="preserve">FD 56.7 - Osterode  </v>
      </c>
      <c r="H151" s="170" t="str">
        <f>VLOOKUP(I151,Daten!$A$5:$E$10,3)</f>
        <v>Gipsmühle 2-4, 37520 Osterode</v>
      </c>
      <c r="I151" s="171">
        <v>5</v>
      </c>
    </row>
    <row r="152" spans="1:9" x14ac:dyDescent="0.2">
      <c r="A152" s="167">
        <v>148</v>
      </c>
      <c r="B152" s="172" t="s">
        <v>288</v>
      </c>
      <c r="C152" s="173" t="s">
        <v>289</v>
      </c>
      <c r="D152" s="169" t="s">
        <v>333</v>
      </c>
      <c r="E152" s="170" t="str">
        <f>Mietstufenzuordnung!L152</f>
        <v>nV</v>
      </c>
      <c r="F152" s="170" t="s">
        <v>334</v>
      </c>
      <c r="G152" s="170" t="str">
        <f>VLOOKUP(I152,Daten!$A$5:$E$10,2)</f>
        <v xml:space="preserve">FD 56.7 - Osterode  </v>
      </c>
      <c r="H152" s="170" t="str">
        <f>VLOOKUP(I152,Daten!$A$5:$E$10,3)</f>
        <v>Gipsmühle 2-4, 37520 Osterode</v>
      </c>
      <c r="I152" s="171">
        <v>5</v>
      </c>
    </row>
    <row r="153" spans="1:9" x14ac:dyDescent="0.2">
      <c r="A153" s="167">
        <v>149</v>
      </c>
      <c r="B153" s="172" t="s">
        <v>290</v>
      </c>
      <c r="C153" s="173" t="s">
        <v>291</v>
      </c>
      <c r="D153" s="169" t="s">
        <v>333</v>
      </c>
      <c r="E153" s="170" t="str">
        <f>Mietstufenzuordnung!L153</f>
        <v>nV</v>
      </c>
      <c r="F153" s="170" t="s">
        <v>334</v>
      </c>
      <c r="G153" s="170" t="str">
        <f>VLOOKUP(I153,Daten!$A$5:$E$10,2)</f>
        <v xml:space="preserve">FD 56.7 - Osterode  </v>
      </c>
      <c r="H153" s="170" t="str">
        <f>VLOOKUP(I153,Daten!$A$5:$E$10,3)</f>
        <v>Gipsmühle 2-4, 37520 Osterode</v>
      </c>
      <c r="I153" s="171">
        <v>5</v>
      </c>
    </row>
    <row r="154" spans="1:9" x14ac:dyDescent="0.2">
      <c r="A154" s="167">
        <v>150</v>
      </c>
      <c r="B154" s="172" t="s">
        <v>292</v>
      </c>
      <c r="C154" s="173" t="s">
        <v>293</v>
      </c>
      <c r="D154" s="169" t="s">
        <v>333</v>
      </c>
      <c r="E154" s="170" t="str">
        <f>Mietstufenzuordnung!L154</f>
        <v>nV</v>
      </c>
      <c r="F154" s="170" t="s">
        <v>334</v>
      </c>
      <c r="G154" s="170" t="str">
        <f>VLOOKUP(I154,Daten!$A$5:$E$10,2)</f>
        <v>FD 56.8 - Südharz</v>
      </c>
      <c r="H154" s="170" t="str">
        <f>VLOOKUP(I154,Daten!$A$5:$E$10,3)</f>
        <v>Bahnhofstr. 10, 37431 Bad Lauterberg</v>
      </c>
      <c r="I154" s="171">
        <v>6</v>
      </c>
    </row>
    <row r="155" spans="1:9" x14ac:dyDescent="0.2">
      <c r="A155" s="167">
        <v>151</v>
      </c>
      <c r="B155" s="172" t="s">
        <v>294</v>
      </c>
      <c r="C155" s="173" t="s">
        <v>295</v>
      </c>
      <c r="D155" s="169" t="s">
        <v>333</v>
      </c>
      <c r="E155" s="170" t="str">
        <f>Mietstufenzuordnung!L155</f>
        <v>nV</v>
      </c>
      <c r="F155" s="170" t="s">
        <v>334</v>
      </c>
      <c r="G155" s="170" t="str">
        <f>VLOOKUP(I155,Daten!$A$5:$E$10,2)</f>
        <v>FD 56.8 - Südharz</v>
      </c>
      <c r="H155" s="170" t="str">
        <f>VLOOKUP(I155,Daten!$A$5:$E$10,3)</f>
        <v>Bahnhofstr. 10, 37431 Bad Lauterberg</v>
      </c>
      <c r="I155" s="171">
        <v>6</v>
      </c>
    </row>
    <row r="156" spans="1:9" x14ac:dyDescent="0.2">
      <c r="A156" s="167">
        <v>152</v>
      </c>
      <c r="B156" s="172" t="s">
        <v>296</v>
      </c>
      <c r="C156" s="173" t="s">
        <v>297</v>
      </c>
      <c r="D156" s="169" t="s">
        <v>333</v>
      </c>
      <c r="E156" s="170" t="str">
        <f>Mietstufenzuordnung!L156</f>
        <v>nV</v>
      </c>
      <c r="F156" s="170" t="s">
        <v>334</v>
      </c>
      <c r="G156" s="170" t="str">
        <f>VLOOKUP(I156,Daten!$A$5:$E$10,2)</f>
        <v>FD 56.8 - Südharz</v>
      </c>
      <c r="H156" s="170" t="str">
        <f>VLOOKUP(I156,Daten!$A$5:$E$10,3)</f>
        <v>Bahnhofstr. 10, 37431 Bad Lauterberg</v>
      </c>
      <c r="I156" s="171">
        <v>6</v>
      </c>
    </row>
    <row r="157" spans="1:9" x14ac:dyDescent="0.2">
      <c r="A157" s="167">
        <v>153</v>
      </c>
      <c r="B157" s="172" t="s">
        <v>298</v>
      </c>
      <c r="C157" s="173" t="s">
        <v>299</v>
      </c>
      <c r="D157" s="169" t="s">
        <v>333</v>
      </c>
      <c r="E157" s="170" t="str">
        <f>Mietstufenzuordnung!L157</f>
        <v>nV</v>
      </c>
      <c r="F157" s="170" t="s">
        <v>334</v>
      </c>
      <c r="G157" s="170" t="str">
        <f>VLOOKUP(I157,Daten!$A$5:$E$10,2)</f>
        <v>FD 56.8 - Südharz</v>
      </c>
      <c r="H157" s="170" t="str">
        <f>VLOOKUP(I157,Daten!$A$5:$E$10,3)</f>
        <v>Bahnhofstr. 10, 37431 Bad Lauterberg</v>
      </c>
      <c r="I157" s="171">
        <v>6</v>
      </c>
    </row>
    <row r="158" spans="1:9" x14ac:dyDescent="0.2">
      <c r="A158" s="167">
        <v>154</v>
      </c>
      <c r="B158" s="172" t="s">
        <v>300</v>
      </c>
      <c r="C158" s="173" t="s">
        <v>301</v>
      </c>
      <c r="D158" s="169" t="s">
        <v>333</v>
      </c>
      <c r="E158" s="170" t="str">
        <f>Mietstufenzuordnung!L158</f>
        <v>nV</v>
      </c>
      <c r="F158" s="170" t="s">
        <v>334</v>
      </c>
      <c r="G158" s="170" t="str">
        <f>VLOOKUP(I158,Daten!$A$5:$E$10,2)</f>
        <v>FD 56.8 - Südharz</v>
      </c>
      <c r="H158" s="170" t="str">
        <f>VLOOKUP(I158,Daten!$A$5:$E$10,3)</f>
        <v>Bahnhofstr. 10, 37431 Bad Lauterberg</v>
      </c>
      <c r="I158" s="171">
        <v>6</v>
      </c>
    </row>
    <row r="159" spans="1:9" x14ac:dyDescent="0.2">
      <c r="A159" s="167">
        <v>155</v>
      </c>
      <c r="B159" s="172" t="s">
        <v>302</v>
      </c>
      <c r="C159" s="173" t="s">
        <v>303</v>
      </c>
      <c r="D159" s="169" t="s">
        <v>333</v>
      </c>
      <c r="E159" s="170" t="str">
        <f>Mietstufenzuordnung!L159</f>
        <v>nV</v>
      </c>
      <c r="F159" s="170" t="s">
        <v>334</v>
      </c>
      <c r="G159" s="170" t="str">
        <f>VLOOKUP(I159,Daten!$A$5:$E$10,2)</f>
        <v>FD 56.8 - Südharz</v>
      </c>
      <c r="H159" s="170" t="str">
        <f>VLOOKUP(I159,Daten!$A$5:$E$10,3)</f>
        <v>Bahnhofstr. 10, 37431 Bad Lauterberg</v>
      </c>
      <c r="I159" s="171">
        <v>6</v>
      </c>
    </row>
    <row r="160" spans="1:9" x14ac:dyDescent="0.2">
      <c r="A160" s="167">
        <v>156</v>
      </c>
      <c r="B160" s="172" t="s">
        <v>304</v>
      </c>
      <c r="C160" s="173" t="s">
        <v>362</v>
      </c>
      <c r="D160" s="169" t="s">
        <v>333</v>
      </c>
      <c r="E160" s="170" t="str">
        <f>Mietstufenzuordnung!L160</f>
        <v>nV</v>
      </c>
      <c r="F160" s="170" t="s">
        <v>334</v>
      </c>
      <c r="G160" s="170" t="str">
        <f>VLOOKUP(I160,Daten!$A$5:$E$10,2)</f>
        <v>FD 56.8 - Südharz</v>
      </c>
      <c r="H160" s="170" t="str">
        <f>VLOOKUP(I160,Daten!$A$5:$E$10,3)</f>
        <v>Bahnhofstr. 10, 37431 Bad Lauterberg</v>
      </c>
      <c r="I160" s="171">
        <v>6</v>
      </c>
    </row>
    <row r="161" spans="1:9" x14ac:dyDescent="0.2">
      <c r="A161" s="167">
        <v>157</v>
      </c>
      <c r="B161" s="172" t="s">
        <v>305</v>
      </c>
      <c r="C161" s="173" t="s">
        <v>306</v>
      </c>
      <c r="D161" s="169" t="s">
        <v>333</v>
      </c>
      <c r="E161" s="170" t="str">
        <f>Mietstufenzuordnung!L161</f>
        <v>nV</v>
      </c>
      <c r="F161" s="170" t="s">
        <v>334</v>
      </c>
      <c r="G161" s="170" t="str">
        <f>VLOOKUP(I161,Daten!$A$5:$E$10,2)</f>
        <v>FD 56.8 - Südharz</v>
      </c>
      <c r="H161" s="170" t="str">
        <f>VLOOKUP(I161,Daten!$A$5:$E$10,3)</f>
        <v>Bahnhofstr. 10, 37431 Bad Lauterberg</v>
      </c>
      <c r="I161" s="171">
        <v>6</v>
      </c>
    </row>
    <row r="162" spans="1:9" x14ac:dyDescent="0.2">
      <c r="A162" s="167">
        <v>158</v>
      </c>
      <c r="B162" s="172" t="s">
        <v>307</v>
      </c>
      <c r="C162" s="173" t="s">
        <v>308</v>
      </c>
      <c r="D162" s="169" t="s">
        <v>333</v>
      </c>
      <c r="E162" s="170" t="str">
        <f>Mietstufenzuordnung!L162</f>
        <v>nV</v>
      </c>
      <c r="F162" s="170" t="s">
        <v>334</v>
      </c>
      <c r="G162" s="170" t="str">
        <f>VLOOKUP(I162,Daten!$A$5:$E$10,2)</f>
        <v xml:space="preserve">FD 56.7 - Osterode  </v>
      </c>
      <c r="H162" s="170" t="str">
        <f>VLOOKUP(I162,Daten!$A$5:$E$10,3)</f>
        <v>Gipsmühle 2-4, 37520 Osterode</v>
      </c>
      <c r="I162" s="171">
        <v>5</v>
      </c>
    </row>
    <row r="163" spans="1:9" x14ac:dyDescent="0.2">
      <c r="A163" s="167">
        <v>159</v>
      </c>
      <c r="B163" s="172" t="s">
        <v>309</v>
      </c>
      <c r="C163" s="173" t="s">
        <v>310</v>
      </c>
      <c r="D163" s="169" t="s">
        <v>333</v>
      </c>
      <c r="E163" s="170" t="str">
        <f>Mietstufenzuordnung!L163</f>
        <v>nV</v>
      </c>
      <c r="F163" s="170" t="s">
        <v>334</v>
      </c>
      <c r="G163" s="170" t="str">
        <f>VLOOKUP(I163,Daten!$A$5:$E$10,2)</f>
        <v xml:space="preserve">FD 56.7 - Osterode  </v>
      </c>
      <c r="H163" s="170" t="str">
        <f>VLOOKUP(I163,Daten!$A$5:$E$10,3)</f>
        <v>Gipsmühle 2-4, 37520 Osterode</v>
      </c>
      <c r="I163" s="171">
        <v>5</v>
      </c>
    </row>
    <row r="164" spans="1:9" x14ac:dyDescent="0.2">
      <c r="A164" s="167">
        <v>160</v>
      </c>
      <c r="B164" s="172" t="s">
        <v>311</v>
      </c>
      <c r="C164" s="173" t="s">
        <v>312</v>
      </c>
      <c r="D164" s="169" t="s">
        <v>333</v>
      </c>
      <c r="E164" s="170" t="str">
        <f>Mietstufenzuordnung!L164</f>
        <v>nV</v>
      </c>
      <c r="F164" s="170" t="s">
        <v>334</v>
      </c>
      <c r="G164" s="170" t="str">
        <f>VLOOKUP(I164,Daten!$A$5:$E$10,2)</f>
        <v xml:space="preserve">FD 56.7 - Osterode  </v>
      </c>
      <c r="H164" s="170" t="str">
        <f>VLOOKUP(I164,Daten!$A$5:$E$10,3)</f>
        <v>Gipsmühle 2-4, 37520 Osterode</v>
      </c>
      <c r="I164" s="171">
        <v>5</v>
      </c>
    </row>
    <row r="165" spans="1:9" x14ac:dyDescent="0.2">
      <c r="A165" s="167">
        <v>161</v>
      </c>
      <c r="B165" s="172" t="s">
        <v>313</v>
      </c>
      <c r="C165" s="173" t="s">
        <v>314</v>
      </c>
      <c r="D165" s="169" t="s">
        <v>333</v>
      </c>
      <c r="E165" s="170" t="str">
        <f>Mietstufenzuordnung!L165</f>
        <v>nV</v>
      </c>
      <c r="F165" s="170" t="s">
        <v>334</v>
      </c>
      <c r="G165" s="170" t="str">
        <f>VLOOKUP(I165,Daten!$A$5:$E$10,2)</f>
        <v xml:space="preserve">FD 56.7 - Osterode  </v>
      </c>
      <c r="H165" s="170" t="str">
        <f>VLOOKUP(I165,Daten!$A$5:$E$10,3)</f>
        <v>Gipsmühle 2-4, 37520 Osterode</v>
      </c>
      <c r="I165" s="171">
        <v>5</v>
      </c>
    </row>
    <row r="166" spans="1:9" x14ac:dyDescent="0.2">
      <c r="A166" s="167">
        <v>162</v>
      </c>
      <c r="B166" s="172" t="s">
        <v>315</v>
      </c>
      <c r="C166" s="173" t="s">
        <v>316</v>
      </c>
      <c r="D166" s="169" t="s">
        <v>333</v>
      </c>
      <c r="E166" s="170" t="str">
        <f>Mietstufenzuordnung!L166</f>
        <v>nV</v>
      </c>
      <c r="F166" s="170" t="s">
        <v>334</v>
      </c>
      <c r="G166" s="170" t="str">
        <f>VLOOKUP(I166,Daten!$A$5:$E$10,2)</f>
        <v xml:space="preserve">FD 56.7 - Osterode  </v>
      </c>
      <c r="H166" s="170" t="str">
        <f>VLOOKUP(I166,Daten!$A$5:$E$10,3)</f>
        <v>Gipsmühle 2-4, 37520 Osterode</v>
      </c>
      <c r="I166" s="171">
        <v>5</v>
      </c>
    </row>
    <row r="167" spans="1:9" x14ac:dyDescent="0.2">
      <c r="A167" s="167">
        <v>163</v>
      </c>
      <c r="B167" s="172" t="s">
        <v>317</v>
      </c>
      <c r="C167" s="173" t="s">
        <v>318</v>
      </c>
      <c r="D167" s="169" t="s">
        <v>333</v>
      </c>
      <c r="E167" s="170" t="str">
        <f>Mietstufenzuordnung!L167</f>
        <v>nV</v>
      </c>
      <c r="F167" s="170" t="s">
        <v>334</v>
      </c>
      <c r="G167" s="170" t="str">
        <f>VLOOKUP(I167,Daten!$A$5:$E$10,2)</f>
        <v xml:space="preserve">FD 56.7 - Osterode  </v>
      </c>
      <c r="H167" s="170" t="str">
        <f>VLOOKUP(I167,Daten!$A$5:$E$10,3)</f>
        <v>Gipsmühle 2-4, 37520 Osterode</v>
      </c>
      <c r="I167" s="171">
        <v>5</v>
      </c>
    </row>
    <row r="168" spans="1:9" x14ac:dyDescent="0.2">
      <c r="A168" s="167">
        <v>164</v>
      </c>
      <c r="B168" s="172" t="s">
        <v>319</v>
      </c>
      <c r="C168" s="173" t="s">
        <v>320</v>
      </c>
      <c r="D168" s="169" t="s">
        <v>333</v>
      </c>
      <c r="E168" s="170" t="str">
        <f>Mietstufenzuordnung!L168</f>
        <v>nV</v>
      </c>
      <c r="F168" s="170" t="s">
        <v>334</v>
      </c>
      <c r="G168" s="170" t="str">
        <f>VLOOKUP(I168,Daten!$A$5:$E$10,2)</f>
        <v xml:space="preserve">FD 56.7 - Osterode  </v>
      </c>
      <c r="H168" s="170" t="str">
        <f>VLOOKUP(I168,Daten!$A$5:$E$10,3)</f>
        <v>Gipsmühle 2-4, 37520 Osterode</v>
      </c>
      <c r="I168" s="171">
        <v>5</v>
      </c>
    </row>
    <row r="169" spans="1:9" x14ac:dyDescent="0.2">
      <c r="A169" s="167">
        <v>165</v>
      </c>
      <c r="B169" s="172" t="s">
        <v>321</v>
      </c>
      <c r="C169" s="173" t="s">
        <v>322</v>
      </c>
      <c r="D169" s="169" t="s">
        <v>333</v>
      </c>
      <c r="E169" s="170" t="str">
        <f>Mietstufenzuordnung!L169</f>
        <v>nV</v>
      </c>
      <c r="F169" s="170" t="s">
        <v>334</v>
      </c>
      <c r="G169" s="170" t="str">
        <f>VLOOKUP(I169,Daten!$A$5:$E$10,2)</f>
        <v xml:space="preserve">FD 56.7 - Osterode  </v>
      </c>
      <c r="H169" s="170" t="str">
        <f>VLOOKUP(I169,Daten!$A$5:$E$10,3)</f>
        <v>Gipsmühle 2-4, 37520 Osterode</v>
      </c>
      <c r="I169" s="171">
        <v>5</v>
      </c>
    </row>
    <row r="170" spans="1:9" x14ac:dyDescent="0.2">
      <c r="A170" s="167">
        <v>166</v>
      </c>
      <c r="B170" s="172" t="s">
        <v>323</v>
      </c>
      <c r="C170" s="173" t="s">
        <v>324</v>
      </c>
      <c r="D170" s="169" t="s">
        <v>333</v>
      </c>
      <c r="E170" s="170" t="str">
        <f>Mietstufenzuordnung!L170</f>
        <v>nV</v>
      </c>
      <c r="F170" s="170" t="s">
        <v>334</v>
      </c>
      <c r="G170" s="170" t="str">
        <f>VLOOKUP(I170,Daten!$A$5:$E$10,2)</f>
        <v xml:space="preserve">FD 56.7 - Osterode  </v>
      </c>
      <c r="H170" s="170" t="str">
        <f>VLOOKUP(I170,Daten!$A$5:$E$10,3)</f>
        <v>Gipsmühle 2-4, 37520 Osterode</v>
      </c>
      <c r="I170" s="171">
        <v>5</v>
      </c>
    </row>
    <row r="171" spans="1:9" x14ac:dyDescent="0.2">
      <c r="A171" s="167">
        <v>167</v>
      </c>
      <c r="B171" s="172" t="s">
        <v>325</v>
      </c>
      <c r="C171" s="173" t="s">
        <v>326</v>
      </c>
      <c r="D171" s="169" t="s">
        <v>333</v>
      </c>
      <c r="E171" s="170" t="str">
        <f>Mietstufenzuordnung!L171</f>
        <v>nV</v>
      </c>
      <c r="F171" s="170" t="s">
        <v>334</v>
      </c>
      <c r="G171" s="170" t="str">
        <f>VLOOKUP(I171,Daten!$A$5:$E$10,2)</f>
        <v xml:space="preserve">FD 56.7 - Osterode  </v>
      </c>
      <c r="H171" s="170" t="str">
        <f>VLOOKUP(I171,Daten!$A$5:$E$10,3)</f>
        <v>Gipsmühle 2-4, 37520 Osterode</v>
      </c>
      <c r="I171" s="171">
        <v>5</v>
      </c>
    </row>
    <row r="172" spans="1:9" x14ac:dyDescent="0.2">
      <c r="A172" s="167">
        <v>168</v>
      </c>
      <c r="B172" s="172" t="s">
        <v>327</v>
      </c>
      <c r="C172" s="173" t="s">
        <v>328</v>
      </c>
      <c r="D172" s="169" t="s">
        <v>333</v>
      </c>
      <c r="E172" s="170" t="str">
        <f>Mietstufenzuordnung!L172</f>
        <v>nV</v>
      </c>
      <c r="F172" s="170" t="s">
        <v>334</v>
      </c>
      <c r="G172" s="170" t="str">
        <f>VLOOKUP(I172,Daten!$A$5:$E$10,2)</f>
        <v>FD 56.8 - Südharz</v>
      </c>
      <c r="H172" s="170" t="str">
        <f>VLOOKUP(I172,Daten!$A$5:$E$10,3)</f>
        <v>Bahnhofstr. 10, 37431 Bad Lauterberg</v>
      </c>
      <c r="I172" s="171">
        <v>6</v>
      </c>
    </row>
    <row r="173" spans="1:9" x14ac:dyDescent="0.2">
      <c r="A173" s="167">
        <v>169</v>
      </c>
      <c r="B173" s="172" t="s">
        <v>329</v>
      </c>
      <c r="C173" s="173" t="s">
        <v>330</v>
      </c>
      <c r="D173" s="169" t="s">
        <v>333</v>
      </c>
      <c r="E173" s="170" t="str">
        <f>Mietstufenzuordnung!L173</f>
        <v>nV</v>
      </c>
      <c r="F173" s="170" t="s">
        <v>334</v>
      </c>
      <c r="G173" s="170" t="str">
        <f>VLOOKUP(I173,Daten!$A$5:$E$10,2)</f>
        <v>FD 56.8 - Südharz</v>
      </c>
      <c r="H173" s="170" t="str">
        <f>VLOOKUP(I173,Daten!$A$5:$E$10,3)</f>
        <v>Bahnhofstr. 10, 37431 Bad Lauterberg</v>
      </c>
      <c r="I173" s="171">
        <v>6</v>
      </c>
    </row>
    <row r="174" spans="1:9" x14ac:dyDescent="0.2">
      <c r="A174" s="174">
        <v>170</v>
      </c>
      <c r="B174" s="172" t="s">
        <v>331</v>
      </c>
      <c r="C174" s="173" t="s">
        <v>332</v>
      </c>
      <c r="D174" s="169" t="s">
        <v>333</v>
      </c>
      <c r="E174" s="170" t="str">
        <f>Mietstufenzuordnung!L174</f>
        <v>nV</v>
      </c>
      <c r="F174" s="170" t="s">
        <v>334</v>
      </c>
      <c r="G174" s="170" t="str">
        <f>VLOOKUP(I174,Daten!$A$5:$E$10,2)</f>
        <v>FD 56.8 - Südharz</v>
      </c>
      <c r="H174" s="170" t="str">
        <f>VLOOKUP(I174,Daten!$A$5:$E$10,3)</f>
        <v>Bahnhofstr. 10, 37431 Bad Lauterberg</v>
      </c>
      <c r="I174" s="171">
        <v>6</v>
      </c>
    </row>
    <row r="175" spans="1:9" ht="29.25" customHeight="1" x14ac:dyDescent="0.2"/>
    <row r="176" spans="1:9" x14ac:dyDescent="0.2">
      <c r="B176" s="165" t="s">
        <v>355</v>
      </c>
    </row>
    <row r="178" spans="2:5" s="176" customFormat="1" ht="18" customHeight="1" x14ac:dyDescent="0.25">
      <c r="B178" s="176" t="s">
        <v>343</v>
      </c>
      <c r="C178" s="176" t="str">
        <f>Daten!B15</f>
        <v/>
      </c>
      <c r="E178" s="177"/>
    </row>
    <row r="179" spans="2:5" s="176" customFormat="1" ht="18" customHeight="1" x14ac:dyDescent="0.25">
      <c r="B179" s="176" t="s">
        <v>356</v>
      </c>
      <c r="C179" s="176" t="str">
        <f>Daten!B19</f>
        <v/>
      </c>
      <c r="E179" s="177"/>
    </row>
    <row r="180" spans="2:5" s="176" customFormat="1" ht="18" customHeight="1" x14ac:dyDescent="0.25">
      <c r="B180" s="176" t="s">
        <v>1367</v>
      </c>
      <c r="C180" s="177" t="str">
        <f>Daten!M20</f>
        <v/>
      </c>
      <c r="E180" s="177"/>
    </row>
    <row r="181" spans="2:5" s="176" customFormat="1" ht="18" customHeight="1" x14ac:dyDescent="0.25">
      <c r="E181" s="177"/>
    </row>
    <row r="182" spans="2:5" s="176" customFormat="1" ht="18" customHeight="1" x14ac:dyDescent="0.25">
      <c r="B182" s="175" t="str">
        <f>IF(OR(Daten!J15=1,Daten!J16=1),"",Daten!G19)</f>
        <v>bitte Straße eingeben:</v>
      </c>
      <c r="C182" s="561"/>
      <c r="E182" s="177"/>
    </row>
    <row r="183" spans="2:5" s="176" customFormat="1" ht="18" customHeight="1" x14ac:dyDescent="0.25">
      <c r="E183" s="177"/>
    </row>
    <row r="184" spans="2:5" s="176" customFormat="1" ht="18" customHeight="1" x14ac:dyDescent="0.25">
      <c r="B184" s="175" t="str">
        <f>IF(Daten!J15=1,Daten!G20,"")</f>
        <v/>
      </c>
      <c r="C184" s="558"/>
      <c r="E184" s="177"/>
    </row>
    <row r="185" spans="2:5" s="176" customFormat="1" ht="17.649999999999999" customHeight="1" x14ac:dyDescent="0.25">
      <c r="B185" s="175" t="str">
        <f>IF(Daten!J16=1,Daten!G20,"")</f>
        <v/>
      </c>
      <c r="C185" s="559"/>
      <c r="E185" s="177"/>
    </row>
    <row r="187" spans="2:5" ht="19.149999999999999" customHeight="1" x14ac:dyDescent="0.25">
      <c r="B187" s="537" t="str">
        <f>IF(OR(Daten!O16=1,Daten!S16=1),Daten!P16,"")</f>
        <v/>
      </c>
      <c r="C187" s="560"/>
    </row>
    <row r="195" spans="2:7" ht="14.25" customHeight="1" x14ac:dyDescent="0.45">
      <c r="B195" s="352"/>
      <c r="C195" s="353"/>
      <c r="D195" s="353"/>
      <c r="E195" s="354"/>
      <c r="F195" s="353"/>
      <c r="G195" s="353"/>
    </row>
  </sheetData>
  <sheetProtection sheet="1" selectLockedCells="1" sort="0" autoFilter="0" pivotTables="0"/>
  <mergeCells count="1">
    <mergeCell ref="A2:I2"/>
  </mergeCells>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9" id="{6D3319C8-9678-44BC-9FF7-A78CCA0852D4}">
            <xm:f>Daten!$J$15=1</xm:f>
            <x14:dxf>
              <fill>
                <patternFill>
                  <bgColor rgb="FFFFFF66"/>
                </patternFill>
              </fill>
              <border>
                <left style="thin">
                  <color auto="1"/>
                </left>
                <right style="thin">
                  <color auto="1"/>
                </right>
                <top style="thin">
                  <color auto="1"/>
                </top>
                <bottom style="thin">
                  <color auto="1"/>
                </bottom>
              </border>
            </x14:dxf>
          </x14:cfRule>
          <xm:sqref>C184</xm:sqref>
        </x14:conditionalFormatting>
        <x14:conditionalFormatting xmlns:xm="http://schemas.microsoft.com/office/excel/2006/main">
          <x14:cfRule type="expression" priority="8" id="{985613A9-5B9A-4E97-8380-3F3DDB59D0A5}">
            <xm:f>Daten!$J$16=1</xm:f>
            <x14:dxf>
              <fill>
                <patternFill>
                  <bgColor rgb="FFFFFF66"/>
                </patternFill>
              </fill>
              <border>
                <left style="thin">
                  <color auto="1"/>
                </left>
                <right style="thin">
                  <color auto="1"/>
                </right>
                <top style="thin">
                  <color auto="1"/>
                </top>
                <bottom style="thin">
                  <color auto="1"/>
                </bottom>
                <vertical/>
                <horizontal/>
              </border>
            </x14:dxf>
          </x14:cfRule>
          <xm:sqref>C185</xm:sqref>
        </x14:conditionalFormatting>
        <x14:conditionalFormatting xmlns:xm="http://schemas.microsoft.com/office/excel/2006/main">
          <x14:cfRule type="expression" priority="7" id="{2A24DCAA-1E6F-49D4-B952-1E9AB5483B4C}">
            <xm:f>OR(Daten!$J$15=1,Daten!$J$16=1)</xm:f>
            <x14:dxf>
              <fill>
                <patternFill patternType="none">
                  <bgColor auto="1"/>
                </patternFill>
              </fill>
              <border>
                <left/>
                <right/>
                <top/>
                <bottom/>
                <vertical/>
                <horizontal/>
              </border>
            </x14:dxf>
          </x14:cfRule>
          <xm:sqref>C182</xm:sqref>
        </x14:conditionalFormatting>
        <x14:conditionalFormatting xmlns:xm="http://schemas.microsoft.com/office/excel/2006/main">
          <x14:cfRule type="expression" priority="1" id="{9DD59DA3-6600-46FA-8522-CD67D691D693}">
            <xm:f>Daten!$O$16=1</xm:f>
            <x14:dxf>
              <fill>
                <patternFill>
                  <bgColor rgb="FFFFFF66"/>
                </patternFill>
              </fill>
              <border>
                <left style="thin">
                  <color auto="1"/>
                </left>
                <right style="thin">
                  <color auto="1"/>
                </right>
                <top style="thin">
                  <color auto="1"/>
                </top>
                <bottom style="thin">
                  <color auto="1"/>
                </bottom>
                <vertical/>
                <horizontal/>
              </border>
            </x14:dxf>
          </x14:cfRule>
          <x14:cfRule type="expression" priority="2" id="{7F190CDA-6DA7-4ED9-AF5F-3B6A25453D53}">
            <xm:f>Daten!$S$16=1</xm:f>
            <x14:dxf>
              <fill>
                <patternFill>
                  <bgColor rgb="FFFFFF66"/>
                </patternFill>
              </fill>
              <border>
                <left style="thin">
                  <color auto="1"/>
                </left>
                <right style="thin">
                  <color auto="1"/>
                </right>
                <top style="thin">
                  <color auto="1"/>
                </top>
                <bottom style="thin">
                  <color auto="1"/>
                </bottom>
                <vertical/>
                <horizontal/>
              </border>
            </x14:dxf>
          </x14:cfRule>
          <xm:sqref>C187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9477756-9D6F-436F-8B24-9CD48C40D99B}">
          <x14:formula1>
            <xm:f>'Straßen Bovenden (Ort)'!$A$3:$A$102</xm:f>
          </x14:formula1>
          <xm:sqref>C184</xm:sqref>
        </x14:dataValidation>
        <x14:dataValidation type="list" allowBlank="1" showInputMessage="1" showErrorMessage="1" xr:uid="{DE9476B8-0845-47C9-BB20-988859582178}">
          <x14:formula1>
            <xm:f>'Straßen Rosdorf (Ort)'!$A$3:$A$77</xm:f>
          </x14:formula1>
          <xm:sqref>C185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rgb="FFFFC000"/>
  </sheetPr>
  <dimension ref="A1:EA252"/>
  <sheetViews>
    <sheetView zoomScale="160" zoomScaleNormal="160" workbookViewId="0">
      <selection activeCell="AG26" sqref="AG26:AQ26"/>
    </sheetView>
  </sheetViews>
  <sheetFormatPr baseColWidth="10" defaultColWidth="11.42578125" defaultRowHeight="12" x14ac:dyDescent="0.2"/>
  <cols>
    <col min="1" max="1" width="11.42578125" style="182" customWidth="1"/>
    <col min="2" max="61" width="1.140625" style="182" customWidth="1"/>
    <col min="62" max="62" width="1.28515625" style="182" customWidth="1"/>
    <col min="63" max="77" width="1.140625" style="182" customWidth="1"/>
    <col min="78" max="78" width="0.28515625" style="182" customWidth="1"/>
    <col min="79" max="79" width="10.85546875" style="182" customWidth="1"/>
    <col min="80" max="16384" width="11.42578125" style="182"/>
  </cols>
  <sheetData>
    <row r="1" spans="1:130" ht="15" customHeight="1" x14ac:dyDescent="0.2">
      <c r="A1" s="184"/>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339"/>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84"/>
      <c r="DN1" s="184"/>
      <c r="DO1" s="184"/>
      <c r="DP1" s="184"/>
      <c r="DQ1" s="184"/>
      <c r="DR1" s="184"/>
      <c r="DS1" s="184"/>
      <c r="DT1" s="184"/>
      <c r="DU1" s="184"/>
      <c r="DV1" s="184"/>
      <c r="DW1" s="184"/>
      <c r="DX1" s="184"/>
      <c r="DY1" s="184"/>
      <c r="DZ1" s="184"/>
    </row>
    <row r="2" spans="1:130" ht="15.75" customHeight="1" x14ac:dyDescent="0.2">
      <c r="A2" s="184"/>
      <c r="B2" s="671" t="s">
        <v>1151</v>
      </c>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1"/>
      <c r="BD2" s="671"/>
      <c r="BE2" s="671"/>
      <c r="BF2" s="671"/>
      <c r="BG2" s="671"/>
      <c r="BH2" s="671"/>
      <c r="BI2" s="671"/>
      <c r="BJ2" s="671"/>
      <c r="BK2" s="671"/>
      <c r="BL2" s="671"/>
      <c r="BM2" s="671"/>
      <c r="BN2" s="671"/>
      <c r="BO2" s="671"/>
      <c r="BP2" s="671"/>
      <c r="BQ2" s="671"/>
      <c r="BR2" s="671"/>
      <c r="BS2" s="671"/>
      <c r="BT2" s="671"/>
      <c r="BU2" s="671"/>
      <c r="BV2" s="671"/>
      <c r="BW2" s="671"/>
      <c r="BX2" s="671"/>
      <c r="BY2" s="671"/>
      <c r="BZ2" s="184"/>
      <c r="CA2" s="184"/>
      <c r="CB2" s="184"/>
      <c r="CC2" s="184"/>
      <c r="CD2" s="184"/>
      <c r="CE2" s="184"/>
      <c r="CF2" s="184"/>
      <c r="CG2" s="184"/>
      <c r="CH2" s="184"/>
      <c r="CI2" s="184"/>
      <c r="CJ2" s="184"/>
      <c r="CK2" s="184"/>
      <c r="CL2" s="184"/>
      <c r="CM2" s="184"/>
      <c r="CN2" s="184"/>
      <c r="CO2" s="184"/>
      <c r="CP2" s="184"/>
      <c r="CQ2" s="184"/>
      <c r="CR2" s="184"/>
      <c r="CS2" s="184"/>
      <c r="CT2" s="184"/>
      <c r="CU2" s="184"/>
      <c r="CV2" s="184"/>
      <c r="CW2" s="184"/>
      <c r="CX2" s="184"/>
      <c r="CY2" s="184"/>
      <c r="CZ2" s="184"/>
      <c r="DA2" s="184"/>
      <c r="DB2" s="184"/>
      <c r="DC2" s="184"/>
      <c r="DD2" s="184"/>
      <c r="DE2" s="184"/>
      <c r="DF2" s="184"/>
      <c r="DG2" s="184"/>
      <c r="DH2" s="184"/>
      <c r="DI2" s="184"/>
      <c r="DJ2" s="184"/>
      <c r="DK2" s="184"/>
      <c r="DL2" s="184"/>
      <c r="DM2" s="184"/>
      <c r="DN2" s="184"/>
      <c r="DO2" s="184"/>
      <c r="DP2" s="184"/>
      <c r="DQ2" s="184"/>
      <c r="DR2" s="184"/>
      <c r="DS2" s="184"/>
      <c r="DT2" s="184"/>
      <c r="DU2" s="184"/>
      <c r="DV2" s="184"/>
      <c r="DW2" s="184"/>
      <c r="DX2" s="184"/>
      <c r="DY2" s="184"/>
      <c r="DZ2" s="184"/>
    </row>
    <row r="3" spans="1:130" ht="15" customHeight="1" x14ac:dyDescent="0.2">
      <c r="A3" s="184"/>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c r="AL3" s="671"/>
      <c r="AM3" s="671"/>
      <c r="AN3" s="671"/>
      <c r="AO3" s="671"/>
      <c r="AP3" s="671"/>
      <c r="AQ3" s="671"/>
      <c r="AR3" s="671"/>
      <c r="AS3" s="671"/>
      <c r="AT3" s="671"/>
      <c r="AU3" s="671"/>
      <c r="AV3" s="671"/>
      <c r="AW3" s="671"/>
      <c r="AX3" s="671"/>
      <c r="AY3" s="671"/>
      <c r="AZ3" s="671"/>
      <c r="BA3" s="671"/>
      <c r="BB3" s="671"/>
      <c r="BC3" s="671"/>
      <c r="BD3" s="671"/>
      <c r="BE3" s="671"/>
      <c r="BF3" s="671"/>
      <c r="BG3" s="671"/>
      <c r="BH3" s="671"/>
      <c r="BI3" s="671"/>
      <c r="BJ3" s="671"/>
      <c r="BK3" s="671"/>
      <c r="BL3" s="671"/>
      <c r="BM3" s="671"/>
      <c r="BN3" s="671"/>
      <c r="BO3" s="671"/>
      <c r="BP3" s="671"/>
      <c r="BQ3" s="671"/>
      <c r="BR3" s="671"/>
      <c r="BS3" s="671"/>
      <c r="BT3" s="671"/>
      <c r="BU3" s="671"/>
      <c r="BV3" s="671"/>
      <c r="BW3" s="671"/>
      <c r="BX3" s="671"/>
      <c r="BY3" s="671"/>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row>
    <row r="4" spans="1:130" ht="14.25" customHeight="1" x14ac:dyDescent="0.25">
      <c r="A4" s="184"/>
      <c r="B4" s="185"/>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c r="CM4" s="184"/>
      <c r="CN4" s="184"/>
      <c r="CO4" s="184"/>
      <c r="CP4" s="184"/>
      <c r="CQ4" s="184"/>
      <c r="CR4" s="184"/>
      <c r="CS4" s="184"/>
      <c r="CT4" s="184"/>
      <c r="CU4" s="184"/>
      <c r="CV4" s="184"/>
      <c r="CW4" s="184"/>
      <c r="CX4" s="184"/>
      <c r="CY4" s="184"/>
      <c r="CZ4" s="184"/>
      <c r="DA4" s="184"/>
      <c r="DB4" s="184"/>
      <c r="DC4" s="184"/>
      <c r="DD4" s="184"/>
      <c r="DE4" s="184"/>
      <c r="DF4" s="184"/>
      <c r="DG4" s="184"/>
      <c r="DH4" s="184"/>
      <c r="DI4" s="184"/>
      <c r="DJ4" s="184"/>
      <c r="DK4" s="184"/>
      <c r="DL4" s="184"/>
      <c r="DM4" s="184"/>
      <c r="DN4" s="184"/>
      <c r="DO4" s="184"/>
      <c r="DP4" s="184"/>
      <c r="DQ4" s="184"/>
      <c r="DR4" s="184"/>
      <c r="DS4" s="184"/>
      <c r="DT4" s="184"/>
      <c r="DU4" s="184"/>
      <c r="DV4" s="184"/>
      <c r="DW4" s="184"/>
      <c r="DX4" s="184"/>
      <c r="DY4" s="184"/>
      <c r="DZ4" s="184"/>
    </row>
    <row r="5" spans="1:130" ht="10.15" customHeight="1" x14ac:dyDescent="0.2">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184"/>
      <c r="CH5" s="184"/>
      <c r="CI5" s="184"/>
      <c r="CJ5" s="184"/>
      <c r="CK5" s="184"/>
      <c r="CL5" s="184"/>
      <c r="CM5" s="184"/>
      <c r="CN5" s="184"/>
      <c r="CO5" s="184"/>
      <c r="CP5" s="184"/>
      <c r="CQ5" s="184"/>
      <c r="CR5" s="184"/>
      <c r="CS5" s="184"/>
      <c r="CT5" s="184"/>
      <c r="CU5" s="184"/>
      <c r="CV5" s="184"/>
      <c r="CW5" s="184"/>
      <c r="CX5" s="184"/>
      <c r="CY5" s="184"/>
      <c r="CZ5" s="184"/>
      <c r="DA5" s="184"/>
      <c r="DB5" s="184"/>
      <c r="DC5" s="184"/>
      <c r="DD5" s="184"/>
      <c r="DE5" s="184"/>
      <c r="DF5" s="184"/>
      <c r="DG5" s="184"/>
      <c r="DH5" s="184"/>
      <c r="DI5" s="184"/>
      <c r="DJ5" s="184"/>
      <c r="DK5" s="184"/>
      <c r="DL5" s="184"/>
      <c r="DM5" s="184"/>
      <c r="DN5" s="184"/>
      <c r="DO5" s="184"/>
      <c r="DP5" s="184"/>
      <c r="DQ5" s="184"/>
      <c r="DR5" s="184"/>
      <c r="DS5" s="184"/>
      <c r="DT5" s="184"/>
      <c r="DU5" s="184"/>
      <c r="DV5" s="184"/>
      <c r="DW5" s="184"/>
      <c r="DX5" s="184"/>
      <c r="DY5" s="184"/>
      <c r="DZ5" s="184"/>
    </row>
    <row r="6" spans="1:130" ht="15" customHeight="1" x14ac:dyDescent="0.25">
      <c r="A6" s="184"/>
      <c r="B6" s="661" t="s">
        <v>370</v>
      </c>
      <c r="C6" s="661"/>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1"/>
      <c r="AR6" s="661"/>
      <c r="AS6" s="661"/>
      <c r="AT6" s="661"/>
      <c r="AU6" s="661"/>
      <c r="AV6" s="661"/>
      <c r="AW6" s="661"/>
      <c r="AX6" s="661"/>
      <c r="AY6" s="661"/>
      <c r="AZ6" s="661"/>
      <c r="BA6" s="661"/>
      <c r="BB6" s="661"/>
      <c r="BC6" s="661"/>
      <c r="BD6" s="661"/>
      <c r="BE6" s="661"/>
      <c r="BF6" s="661"/>
      <c r="BG6" s="661"/>
      <c r="BH6" s="661"/>
      <c r="BI6" s="661"/>
      <c r="BJ6" s="661"/>
      <c r="BK6" s="661"/>
      <c r="BL6" s="661"/>
      <c r="BM6" s="661"/>
      <c r="BN6" s="661"/>
      <c r="BO6" s="661"/>
      <c r="BP6" s="661"/>
      <c r="BQ6" s="661"/>
      <c r="BR6" s="661"/>
      <c r="BS6" s="661"/>
      <c r="BT6" s="661"/>
      <c r="BU6" s="661"/>
      <c r="BV6" s="661"/>
      <c r="BW6" s="661"/>
      <c r="BX6" s="661"/>
      <c r="BY6" s="661"/>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row>
    <row r="7" spans="1:130" ht="5.25" customHeight="1" x14ac:dyDescent="0.2">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c r="CR7" s="184"/>
      <c r="CS7" s="184"/>
      <c r="CT7" s="184"/>
      <c r="CU7" s="184"/>
      <c r="CV7" s="184"/>
      <c r="CW7" s="184"/>
      <c r="CX7" s="184"/>
      <c r="CY7" s="184"/>
      <c r="CZ7" s="184"/>
      <c r="DA7" s="184"/>
      <c r="DB7" s="184"/>
      <c r="DC7" s="184"/>
      <c r="DD7" s="184"/>
      <c r="DE7" s="184"/>
      <c r="DF7" s="184"/>
      <c r="DG7" s="184"/>
      <c r="DH7" s="184"/>
      <c r="DI7" s="184"/>
      <c r="DJ7" s="184"/>
      <c r="DK7" s="184"/>
      <c r="DL7" s="184"/>
      <c r="DM7" s="184"/>
      <c r="DN7" s="184"/>
      <c r="DO7" s="184"/>
      <c r="DP7" s="184"/>
      <c r="DQ7" s="184"/>
      <c r="DR7" s="184"/>
      <c r="DS7" s="184"/>
      <c r="DT7" s="184"/>
      <c r="DU7" s="184"/>
      <c r="DV7" s="184"/>
      <c r="DW7" s="184"/>
      <c r="DX7" s="184"/>
      <c r="DY7" s="184"/>
      <c r="DZ7" s="184"/>
    </row>
    <row r="8" spans="1:130" ht="11.25" customHeight="1" x14ac:dyDescent="0.2">
      <c r="A8" s="184"/>
      <c r="B8" s="186" t="s">
        <v>409</v>
      </c>
      <c r="C8" s="186"/>
      <c r="D8" s="186"/>
      <c r="E8" s="186"/>
      <c r="F8" s="186"/>
      <c r="G8" s="186"/>
      <c r="H8" s="186"/>
      <c r="I8" s="186"/>
      <c r="J8" s="186"/>
      <c r="K8" s="186"/>
      <c r="L8" s="186"/>
      <c r="M8" s="186"/>
      <c r="N8" s="186"/>
      <c r="O8" s="186"/>
      <c r="P8" s="186"/>
      <c r="Q8" s="184"/>
      <c r="R8" s="186"/>
      <c r="S8" s="186"/>
      <c r="T8" s="186"/>
      <c r="U8" s="186"/>
      <c r="V8" s="186"/>
      <c r="W8" s="184"/>
      <c r="X8" s="184"/>
      <c r="Y8" s="184"/>
      <c r="Z8" s="187" t="str">
        <f>IF(Daten!D47=0,"(Pflichtfeld)","")</f>
        <v>(Pflichtfeld)</v>
      </c>
      <c r="AA8" s="184"/>
      <c r="AB8" s="184"/>
      <c r="AC8" s="184"/>
      <c r="AD8" s="184"/>
      <c r="AE8" s="184"/>
      <c r="AF8" s="184"/>
      <c r="AG8" s="184"/>
      <c r="AH8" s="184"/>
      <c r="AI8" s="184"/>
      <c r="AJ8" s="184"/>
      <c r="AK8" s="184"/>
      <c r="AL8" s="184"/>
      <c r="AM8" s="184"/>
      <c r="AN8" s="184"/>
      <c r="AO8" s="184" t="s">
        <v>410</v>
      </c>
      <c r="AP8" s="184"/>
      <c r="AQ8" s="184"/>
      <c r="AR8" s="184"/>
      <c r="AS8" s="186"/>
      <c r="AT8" s="186"/>
      <c r="AU8" s="186"/>
      <c r="AV8" s="186"/>
      <c r="AW8" s="186"/>
      <c r="AX8" s="186"/>
      <c r="AY8" s="184"/>
      <c r="AZ8" s="184"/>
      <c r="BA8" s="184"/>
      <c r="BB8" s="184"/>
      <c r="BC8" s="186"/>
      <c r="BD8" s="184"/>
      <c r="BE8" s="184"/>
      <c r="BF8" s="187" t="str">
        <f>IF(Daten!D50=0,"(Pflichtfeld)","")</f>
        <v>(Pflichtfeld)</v>
      </c>
      <c r="BG8" s="186"/>
      <c r="BH8" s="186"/>
      <c r="BI8" s="184"/>
      <c r="BJ8" s="184" t="s">
        <v>369</v>
      </c>
      <c r="BK8" s="184"/>
      <c r="BL8" s="186"/>
      <c r="BM8" s="186"/>
      <c r="BN8" s="184"/>
      <c r="BO8" s="186"/>
      <c r="BP8" s="186"/>
      <c r="BQ8" s="186"/>
      <c r="BR8" s="186"/>
      <c r="BS8" s="186"/>
      <c r="BT8" s="184"/>
      <c r="BU8" s="184"/>
      <c r="BV8" s="184"/>
      <c r="BW8" s="187" t="str">
        <f>IF(Daten!D52=0,"(Pflichtfeld)","")</f>
        <v>(Pflichtfeld)</v>
      </c>
      <c r="BX8" s="186"/>
      <c r="BY8" s="186"/>
      <c r="BZ8" s="184"/>
      <c r="CA8" s="184"/>
      <c r="CB8" s="184"/>
      <c r="CC8" s="184"/>
      <c r="CD8" s="184"/>
      <c r="CE8" s="184"/>
      <c r="CF8" s="184"/>
      <c r="CG8" s="184"/>
      <c r="CH8" s="184"/>
      <c r="CI8" s="184"/>
      <c r="CJ8" s="184"/>
      <c r="CK8" s="184"/>
      <c r="CL8" s="184"/>
      <c r="CM8" s="184"/>
      <c r="CN8" s="184"/>
      <c r="CO8" s="184"/>
      <c r="CP8" s="184"/>
      <c r="CQ8" s="184"/>
      <c r="CR8" s="184"/>
      <c r="CS8" s="184"/>
      <c r="CT8" s="184"/>
      <c r="CU8" s="184"/>
      <c r="CV8" s="184"/>
      <c r="CW8" s="184"/>
      <c r="CX8" s="184"/>
      <c r="CY8" s="184"/>
      <c r="CZ8" s="184"/>
      <c r="DA8" s="184"/>
      <c r="DB8" s="184"/>
      <c r="DC8" s="184"/>
      <c r="DD8" s="184"/>
      <c r="DE8" s="184"/>
      <c r="DF8" s="184"/>
      <c r="DG8" s="184"/>
      <c r="DH8" s="184"/>
      <c r="DI8" s="184"/>
      <c r="DJ8" s="184"/>
      <c r="DK8" s="184"/>
      <c r="DL8" s="184"/>
      <c r="DM8" s="184"/>
      <c r="DN8" s="184"/>
      <c r="DO8" s="184"/>
      <c r="DP8" s="184"/>
      <c r="DQ8" s="184"/>
      <c r="DR8" s="184"/>
      <c r="DS8" s="184"/>
      <c r="DT8" s="184"/>
      <c r="DU8" s="184"/>
      <c r="DV8" s="184"/>
      <c r="DW8" s="184"/>
      <c r="DX8" s="184"/>
      <c r="DY8" s="184"/>
      <c r="DZ8" s="184"/>
    </row>
    <row r="9" spans="1:130" ht="2.1" customHeight="1" x14ac:dyDescent="0.2">
      <c r="A9" s="184"/>
      <c r="B9" s="186"/>
      <c r="C9" s="186"/>
      <c r="D9" s="186"/>
      <c r="E9" s="186"/>
      <c r="F9" s="186"/>
      <c r="G9" s="186"/>
      <c r="H9" s="186"/>
      <c r="I9" s="186"/>
      <c r="J9" s="186"/>
      <c r="K9" s="186"/>
      <c r="L9" s="186"/>
      <c r="M9" s="186"/>
      <c r="N9" s="186"/>
      <c r="O9" s="186"/>
      <c r="P9" s="186"/>
      <c r="Q9" s="184"/>
      <c r="R9" s="186"/>
      <c r="S9" s="186"/>
      <c r="T9" s="186"/>
      <c r="U9" s="186"/>
      <c r="V9" s="186"/>
      <c r="W9" s="184"/>
      <c r="X9" s="184"/>
      <c r="Y9" s="184"/>
      <c r="Z9" s="187"/>
      <c r="AA9" s="184"/>
      <c r="AB9" s="184"/>
      <c r="AC9" s="184"/>
      <c r="AD9" s="184"/>
      <c r="AE9" s="184"/>
      <c r="AF9" s="184"/>
      <c r="AG9" s="184"/>
      <c r="AH9" s="184"/>
      <c r="AI9" s="184"/>
      <c r="AJ9" s="184"/>
      <c r="AK9" s="184"/>
      <c r="AL9" s="184"/>
      <c r="AM9" s="184"/>
      <c r="AN9" s="184"/>
      <c r="AO9" s="184"/>
      <c r="AP9" s="184"/>
      <c r="AQ9" s="184"/>
      <c r="AR9" s="184"/>
      <c r="AS9" s="186"/>
      <c r="AT9" s="186"/>
      <c r="AU9" s="186"/>
      <c r="AV9" s="186"/>
      <c r="AW9" s="186"/>
      <c r="AX9" s="186"/>
      <c r="AY9" s="184"/>
      <c r="AZ9" s="184"/>
      <c r="BA9" s="184"/>
      <c r="BB9" s="184"/>
      <c r="BC9" s="186"/>
      <c r="BD9" s="184"/>
      <c r="BE9" s="184"/>
      <c r="BF9" s="187"/>
      <c r="BG9" s="186"/>
      <c r="BH9" s="186"/>
      <c r="BI9" s="184"/>
      <c r="BJ9" s="184"/>
      <c r="BK9" s="184"/>
      <c r="BL9" s="186"/>
      <c r="BM9" s="186"/>
      <c r="BN9" s="184"/>
      <c r="BO9" s="186"/>
      <c r="BP9" s="186"/>
      <c r="BQ9" s="186"/>
      <c r="BR9" s="186"/>
      <c r="BS9" s="186"/>
      <c r="BT9" s="184"/>
      <c r="BU9" s="184"/>
      <c r="BV9" s="184"/>
      <c r="BW9" s="187"/>
      <c r="BX9" s="186"/>
      <c r="BY9" s="186"/>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4"/>
      <c r="DV9" s="184"/>
      <c r="DW9" s="184"/>
      <c r="DX9" s="184"/>
      <c r="DY9" s="184"/>
      <c r="DZ9" s="184"/>
    </row>
    <row r="10" spans="1:130" ht="15" customHeight="1" x14ac:dyDescent="0.2">
      <c r="A10" s="184"/>
      <c r="B10" s="681"/>
      <c r="C10" s="682"/>
      <c r="D10" s="682"/>
      <c r="E10" s="682"/>
      <c r="F10" s="682"/>
      <c r="G10" s="682"/>
      <c r="H10" s="682"/>
      <c r="I10" s="682"/>
      <c r="J10" s="682"/>
      <c r="K10" s="682"/>
      <c r="L10" s="682"/>
      <c r="M10" s="682"/>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3"/>
      <c r="AK10" s="184"/>
      <c r="AL10" s="184"/>
      <c r="AM10" s="184"/>
      <c r="AN10" s="184"/>
      <c r="AO10" s="681"/>
      <c r="AP10" s="682"/>
      <c r="AQ10" s="682"/>
      <c r="AR10" s="682"/>
      <c r="AS10" s="682"/>
      <c r="AT10" s="682"/>
      <c r="AU10" s="682"/>
      <c r="AV10" s="682"/>
      <c r="AW10" s="682"/>
      <c r="AX10" s="682"/>
      <c r="AY10" s="682"/>
      <c r="AZ10" s="682"/>
      <c r="BA10" s="682"/>
      <c r="BB10" s="682"/>
      <c r="BC10" s="682"/>
      <c r="BD10" s="682"/>
      <c r="BE10" s="682"/>
      <c r="BF10" s="683"/>
      <c r="BG10" s="186"/>
      <c r="BH10" s="186"/>
      <c r="BI10" s="184"/>
      <c r="BJ10" s="687"/>
      <c r="BK10" s="688"/>
      <c r="BL10" s="688"/>
      <c r="BM10" s="688"/>
      <c r="BN10" s="688"/>
      <c r="BO10" s="688"/>
      <c r="BP10" s="688"/>
      <c r="BQ10" s="688"/>
      <c r="BR10" s="688"/>
      <c r="BS10" s="688"/>
      <c r="BT10" s="688"/>
      <c r="BU10" s="688"/>
      <c r="BV10" s="688"/>
      <c r="BW10" s="689"/>
      <c r="BX10" s="188"/>
      <c r="BY10" s="188"/>
      <c r="BZ10" s="188"/>
      <c r="CA10" s="184"/>
      <c r="CB10" s="184"/>
      <c r="CC10" s="184"/>
      <c r="CD10" s="184"/>
      <c r="CE10" s="184"/>
      <c r="CF10" s="184"/>
      <c r="CG10" s="184"/>
      <c r="CH10" s="184"/>
      <c r="CI10" s="184"/>
      <c r="CJ10" s="184"/>
      <c r="CK10" s="184"/>
      <c r="CL10" s="184"/>
      <c r="CM10" s="184"/>
      <c r="CN10" s="184"/>
      <c r="CO10" s="184"/>
      <c r="CP10" s="184"/>
      <c r="CQ10" s="184"/>
      <c r="CR10" s="184"/>
      <c r="CS10" s="184"/>
      <c r="CT10" s="184"/>
      <c r="CU10" s="184"/>
      <c r="CV10" s="184"/>
      <c r="CW10" s="184"/>
      <c r="CX10" s="184"/>
      <c r="CY10" s="184"/>
      <c r="CZ10" s="184"/>
      <c r="DA10" s="184"/>
      <c r="DB10" s="184"/>
      <c r="DC10" s="184"/>
      <c r="DD10" s="184"/>
      <c r="DE10" s="184"/>
      <c r="DF10" s="184"/>
      <c r="DG10" s="184"/>
      <c r="DH10" s="184"/>
      <c r="DI10" s="184"/>
      <c r="DJ10" s="184"/>
      <c r="DK10" s="184"/>
      <c r="DL10" s="184"/>
      <c r="DM10" s="184"/>
      <c r="DN10" s="184"/>
      <c r="DO10" s="184"/>
      <c r="DP10" s="184"/>
      <c r="DQ10" s="184"/>
      <c r="DR10" s="184"/>
      <c r="DS10" s="184"/>
      <c r="DT10" s="184"/>
      <c r="DU10" s="184"/>
      <c r="DV10" s="184"/>
      <c r="DW10" s="184"/>
      <c r="DX10" s="184"/>
      <c r="DY10" s="184"/>
      <c r="DZ10" s="184"/>
    </row>
    <row r="11" spans="1:130" ht="4.7" customHeight="1" x14ac:dyDescent="0.2">
      <c r="A11" s="184"/>
      <c r="B11" s="189"/>
      <c r="C11" s="189"/>
      <c r="D11" s="189"/>
      <c r="E11" s="189"/>
      <c r="F11" s="189"/>
      <c r="G11" s="189"/>
      <c r="H11" s="189"/>
      <c r="I11" s="189"/>
      <c r="J11" s="189"/>
      <c r="K11" s="189"/>
      <c r="L11" s="189"/>
      <c r="M11" s="189"/>
      <c r="N11" s="189"/>
      <c r="O11" s="189"/>
      <c r="P11" s="189"/>
      <c r="Q11" s="189"/>
      <c r="R11" s="189"/>
      <c r="S11" s="189"/>
      <c r="T11" s="189"/>
      <c r="U11" s="189"/>
      <c r="V11" s="189"/>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c r="CA11" s="184"/>
      <c r="CB11" s="184"/>
      <c r="CC11" s="184"/>
      <c r="CD11" s="184"/>
      <c r="CE11" s="184"/>
      <c r="CF11" s="184"/>
      <c r="CG11" s="184"/>
      <c r="CH11" s="184"/>
      <c r="CI11" s="184"/>
      <c r="CJ11" s="184"/>
      <c r="CK11" s="184"/>
      <c r="CL11" s="184"/>
      <c r="CM11" s="184"/>
      <c r="CN11" s="184"/>
      <c r="CO11" s="184"/>
      <c r="CP11" s="184"/>
      <c r="CQ11" s="184"/>
      <c r="CR11" s="184"/>
      <c r="CS11" s="184"/>
      <c r="CT11" s="184"/>
      <c r="CU11" s="184"/>
      <c r="CV11" s="184"/>
      <c r="CW11" s="184"/>
      <c r="CX11" s="184"/>
      <c r="CY11" s="184"/>
      <c r="CZ11" s="184"/>
      <c r="DA11" s="184"/>
      <c r="DB11" s="184"/>
      <c r="DC11" s="184"/>
      <c r="DD11" s="184"/>
      <c r="DE11" s="184"/>
      <c r="DF11" s="184"/>
      <c r="DG11" s="184"/>
      <c r="DH11" s="184"/>
      <c r="DI11" s="184"/>
      <c r="DJ11" s="184"/>
      <c r="DK11" s="184"/>
      <c r="DL11" s="184"/>
      <c r="DM11" s="184"/>
      <c r="DN11" s="184"/>
      <c r="DO11" s="184"/>
      <c r="DP11" s="184"/>
      <c r="DQ11" s="184"/>
      <c r="DR11" s="184"/>
      <c r="DS11" s="184"/>
      <c r="DT11" s="184"/>
      <c r="DU11" s="184"/>
      <c r="DV11" s="184"/>
      <c r="DW11" s="184"/>
      <c r="DX11" s="184"/>
      <c r="DY11" s="184"/>
      <c r="DZ11" s="184"/>
    </row>
    <row r="12" spans="1:130" ht="11.25" customHeight="1" x14ac:dyDescent="0.2">
      <c r="A12" s="184"/>
      <c r="B12" s="186" t="s">
        <v>1367</v>
      </c>
      <c r="C12" s="186"/>
      <c r="D12" s="186"/>
      <c r="E12" s="186"/>
      <c r="F12" s="186"/>
      <c r="G12" s="186"/>
      <c r="H12" s="186"/>
      <c r="I12" s="186"/>
      <c r="J12" s="186"/>
      <c r="K12" s="186"/>
      <c r="L12" s="186"/>
      <c r="M12" s="186"/>
      <c r="N12" s="186"/>
      <c r="O12" s="186"/>
      <c r="P12" s="186"/>
      <c r="Q12" s="186"/>
      <c r="R12" s="184"/>
      <c r="S12" s="186"/>
      <c r="T12" s="186"/>
      <c r="U12" s="186"/>
      <c r="V12" s="186"/>
      <c r="W12" s="184"/>
      <c r="X12" s="184"/>
      <c r="Y12" s="184"/>
      <c r="Z12" s="184"/>
      <c r="AA12" s="184"/>
      <c r="AB12" s="199"/>
      <c r="AC12" s="199"/>
      <c r="AD12" s="199"/>
      <c r="AE12" s="199"/>
      <c r="AF12" s="199"/>
      <c r="AG12" s="199"/>
      <c r="AH12" s="199"/>
      <c r="AI12" s="199"/>
      <c r="AJ12" s="542" t="s">
        <v>1366</v>
      </c>
      <c r="AK12" s="184"/>
      <c r="AL12" s="184"/>
      <c r="AM12" s="184"/>
      <c r="AN12" s="184"/>
      <c r="AO12" s="184" t="s">
        <v>388</v>
      </c>
      <c r="AP12" s="184"/>
      <c r="AQ12" s="184"/>
      <c r="AR12" s="184"/>
      <c r="AS12" s="186"/>
      <c r="AT12" s="186"/>
      <c r="AU12" s="186"/>
      <c r="AV12" s="186"/>
      <c r="AW12" s="184"/>
      <c r="AX12" s="186"/>
      <c r="AY12" s="184"/>
      <c r="AZ12" s="184"/>
      <c r="BA12" s="184"/>
      <c r="BB12" s="184"/>
      <c r="BC12" s="186"/>
      <c r="BD12" s="184"/>
      <c r="BE12" s="186"/>
      <c r="BF12" s="187" t="str">
        <f>IF(Daten!D51=0,"(Pflichtfeld)","")</f>
        <v>(Pflichtfeld)</v>
      </c>
      <c r="BG12" s="186"/>
      <c r="BH12" s="186"/>
      <c r="BI12" s="186"/>
      <c r="BJ12" s="186"/>
      <c r="BK12" s="186"/>
      <c r="BL12" s="186"/>
      <c r="BM12" s="186"/>
      <c r="BN12" s="186"/>
      <c r="BO12" s="186"/>
      <c r="BP12" s="186"/>
      <c r="BQ12" s="186"/>
      <c r="BR12" s="186"/>
      <c r="BS12" s="186"/>
      <c r="BT12" s="186"/>
      <c r="BU12" s="186"/>
      <c r="BV12" s="186"/>
      <c r="BW12" s="186"/>
      <c r="BX12" s="186"/>
      <c r="BY12" s="186"/>
      <c r="BZ12" s="184"/>
      <c r="CA12" s="184"/>
      <c r="CB12" s="184"/>
      <c r="CC12" s="184"/>
      <c r="CD12" s="184"/>
      <c r="CE12" s="184"/>
      <c r="CF12" s="184"/>
      <c r="CG12" s="184"/>
      <c r="CH12" s="184"/>
      <c r="CI12" s="184"/>
      <c r="CJ12" s="184"/>
      <c r="CK12" s="184"/>
      <c r="CL12" s="184"/>
      <c r="CM12" s="184"/>
      <c r="CN12" s="184"/>
      <c r="CO12" s="184"/>
      <c r="CP12" s="184"/>
      <c r="CQ12" s="184"/>
      <c r="CR12" s="184"/>
      <c r="CS12" s="184"/>
      <c r="CT12" s="184"/>
      <c r="CU12" s="184"/>
      <c r="CV12" s="184"/>
      <c r="CW12" s="184"/>
      <c r="CX12" s="184"/>
      <c r="CY12" s="184"/>
      <c r="CZ12" s="184"/>
      <c r="DA12" s="184"/>
      <c r="DB12" s="184"/>
      <c r="DC12" s="184"/>
      <c r="DD12" s="184"/>
      <c r="DE12" s="184"/>
      <c r="DF12" s="184"/>
      <c r="DG12" s="184"/>
      <c r="DH12" s="184"/>
      <c r="DI12" s="184"/>
      <c r="DJ12" s="184"/>
      <c r="DK12" s="184"/>
      <c r="DL12" s="184"/>
      <c r="DM12" s="184"/>
      <c r="DN12" s="184"/>
      <c r="DO12" s="184"/>
      <c r="DP12" s="184"/>
      <c r="DQ12" s="184"/>
      <c r="DR12" s="184"/>
      <c r="DS12" s="184"/>
      <c r="DT12" s="184"/>
      <c r="DU12" s="184"/>
      <c r="DV12" s="184"/>
      <c r="DW12" s="184"/>
      <c r="DX12" s="184"/>
      <c r="DY12" s="184"/>
      <c r="DZ12" s="184"/>
    </row>
    <row r="13" spans="1:130" ht="2.1" customHeight="1" x14ac:dyDescent="0.2">
      <c r="A13" s="184"/>
      <c r="B13" s="186"/>
      <c r="C13" s="186"/>
      <c r="D13" s="186"/>
      <c r="E13" s="186"/>
      <c r="F13" s="186"/>
      <c r="G13" s="186"/>
      <c r="H13" s="186"/>
      <c r="I13" s="186"/>
      <c r="J13" s="186"/>
      <c r="K13" s="186"/>
      <c r="L13" s="186"/>
      <c r="M13" s="186"/>
      <c r="N13" s="186"/>
      <c r="O13" s="186"/>
      <c r="P13" s="186"/>
      <c r="Q13" s="186"/>
      <c r="R13" s="184"/>
      <c r="S13" s="186"/>
      <c r="T13" s="186"/>
      <c r="U13" s="186"/>
      <c r="V13" s="186"/>
      <c r="W13" s="184"/>
      <c r="X13" s="184"/>
      <c r="Y13" s="184"/>
      <c r="Z13" s="187"/>
      <c r="AA13" s="184"/>
      <c r="AB13" s="184"/>
      <c r="AC13" s="184"/>
      <c r="AD13" s="184"/>
      <c r="AE13" s="184"/>
      <c r="AF13" s="184"/>
      <c r="AG13" s="184"/>
      <c r="AH13" s="184"/>
      <c r="AI13" s="184"/>
      <c r="AJ13" s="184"/>
      <c r="AK13" s="184"/>
      <c r="AL13" s="184"/>
      <c r="AM13" s="184"/>
      <c r="AN13" s="184"/>
      <c r="AO13" s="184"/>
      <c r="AP13" s="184"/>
      <c r="AQ13" s="184"/>
      <c r="AR13" s="184"/>
      <c r="AS13" s="186"/>
      <c r="AT13" s="186"/>
      <c r="AU13" s="186"/>
      <c r="AV13" s="186"/>
      <c r="AW13" s="184"/>
      <c r="AX13" s="186"/>
      <c r="AY13" s="184"/>
      <c r="AZ13" s="184"/>
      <c r="BA13" s="184"/>
      <c r="BB13" s="184"/>
      <c r="BC13" s="186"/>
      <c r="BD13" s="184"/>
      <c r="BE13" s="186"/>
      <c r="BF13" s="187"/>
      <c r="BG13" s="186"/>
      <c r="BH13" s="186"/>
      <c r="BI13" s="186"/>
      <c r="BJ13" s="186"/>
      <c r="BK13" s="186"/>
      <c r="BL13" s="186"/>
      <c r="BM13" s="186"/>
      <c r="BN13" s="186"/>
      <c r="BO13" s="186"/>
      <c r="BP13" s="186"/>
      <c r="BQ13" s="186"/>
      <c r="BR13" s="186"/>
      <c r="BS13" s="186"/>
      <c r="BT13" s="186"/>
      <c r="BU13" s="186"/>
      <c r="BV13" s="186"/>
      <c r="BW13" s="186"/>
      <c r="BX13" s="186"/>
      <c r="BY13" s="186"/>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c r="CX13" s="184"/>
      <c r="CY13" s="184"/>
      <c r="CZ13" s="184"/>
      <c r="DA13" s="184"/>
      <c r="DB13" s="184"/>
      <c r="DC13" s="184"/>
      <c r="DD13" s="184"/>
      <c r="DE13" s="184"/>
      <c r="DF13" s="184"/>
      <c r="DG13" s="184"/>
      <c r="DH13" s="184"/>
      <c r="DI13" s="184"/>
      <c r="DJ13" s="184"/>
      <c r="DK13" s="184"/>
      <c r="DL13" s="184"/>
      <c r="DM13" s="184"/>
      <c r="DN13" s="184"/>
      <c r="DO13" s="184"/>
      <c r="DP13" s="184"/>
      <c r="DQ13" s="184"/>
      <c r="DR13" s="184"/>
      <c r="DS13" s="184"/>
      <c r="DT13" s="184"/>
      <c r="DU13" s="184"/>
      <c r="DV13" s="184"/>
      <c r="DW13" s="184"/>
      <c r="DX13" s="184"/>
      <c r="DY13" s="184"/>
      <c r="DZ13" s="184"/>
    </row>
    <row r="14" spans="1:130" ht="15" customHeight="1" x14ac:dyDescent="0.2">
      <c r="A14" s="184"/>
      <c r="B14" s="619" t="str">
        <f>Ortsauswahl!C180</f>
        <v/>
      </c>
      <c r="C14" s="620"/>
      <c r="D14" s="620"/>
      <c r="E14" s="620"/>
      <c r="F14" s="620"/>
      <c r="G14" s="620"/>
      <c r="H14" s="620"/>
      <c r="I14" s="620"/>
      <c r="J14" s="620"/>
      <c r="K14" s="620"/>
      <c r="L14" s="620"/>
      <c r="M14" s="620"/>
      <c r="N14" s="620"/>
      <c r="O14" s="620"/>
      <c r="P14" s="620"/>
      <c r="Q14" s="620"/>
      <c r="R14" s="620"/>
      <c r="S14" s="620"/>
      <c r="T14" s="620"/>
      <c r="U14" s="620"/>
      <c r="V14" s="620"/>
      <c r="W14" s="620"/>
      <c r="X14" s="620"/>
      <c r="Y14" s="620"/>
      <c r="Z14" s="620"/>
      <c r="AA14" s="621"/>
      <c r="AB14" s="540"/>
      <c r="AC14" s="617"/>
      <c r="AD14" s="617"/>
      <c r="AE14" s="617"/>
      <c r="AF14" s="617"/>
      <c r="AG14" s="617"/>
      <c r="AH14" s="617"/>
      <c r="AI14" s="617"/>
      <c r="AJ14" s="618"/>
      <c r="AK14" s="184"/>
      <c r="AL14" s="184"/>
      <c r="AM14" s="184"/>
      <c r="AN14" s="184"/>
      <c r="AO14" s="681"/>
      <c r="AP14" s="682"/>
      <c r="AQ14" s="682"/>
      <c r="AR14" s="682"/>
      <c r="AS14" s="682"/>
      <c r="AT14" s="682"/>
      <c r="AU14" s="682"/>
      <c r="AV14" s="682"/>
      <c r="AW14" s="682"/>
      <c r="AX14" s="682"/>
      <c r="AY14" s="682"/>
      <c r="AZ14" s="682"/>
      <c r="BA14" s="682"/>
      <c r="BB14" s="682"/>
      <c r="BC14" s="682"/>
      <c r="BD14" s="682"/>
      <c r="BE14" s="682"/>
      <c r="BF14" s="683"/>
      <c r="BG14" s="186"/>
      <c r="BH14" s="186"/>
      <c r="BI14" s="186"/>
      <c r="BJ14" s="186"/>
      <c r="BK14" s="186"/>
      <c r="BL14" s="186"/>
      <c r="BM14" s="186"/>
      <c r="BN14" s="186"/>
      <c r="BO14" s="186"/>
      <c r="BP14" s="186"/>
      <c r="BQ14" s="186"/>
      <c r="BR14" s="186"/>
      <c r="BS14" s="186"/>
      <c r="BT14" s="186"/>
      <c r="BU14" s="186"/>
      <c r="BV14" s="186"/>
      <c r="BW14" s="184"/>
      <c r="BX14" s="184"/>
      <c r="BY14" s="184"/>
      <c r="BZ14" s="184"/>
      <c r="CA14" s="184"/>
      <c r="CB14" s="184"/>
      <c r="CC14" s="184"/>
      <c r="CD14" s="184"/>
      <c r="CE14" s="184"/>
      <c r="CF14" s="184"/>
      <c r="CG14" s="184"/>
      <c r="CH14" s="184"/>
      <c r="CI14" s="184"/>
      <c r="CJ14" s="184"/>
      <c r="CK14" s="184"/>
      <c r="CL14" s="184"/>
      <c r="CM14" s="184"/>
      <c r="CN14" s="184"/>
      <c r="CO14" s="184"/>
      <c r="CP14" s="184"/>
      <c r="CQ14" s="184"/>
      <c r="CR14" s="184"/>
      <c r="CS14" s="184"/>
      <c r="CT14" s="184"/>
      <c r="CU14" s="184"/>
      <c r="CV14" s="184"/>
      <c r="CW14" s="184"/>
      <c r="CX14" s="184"/>
      <c r="CY14" s="184"/>
      <c r="CZ14" s="184"/>
      <c r="DA14" s="184"/>
      <c r="DB14" s="184"/>
      <c r="DC14" s="184"/>
      <c r="DD14" s="184"/>
      <c r="DE14" s="184"/>
      <c r="DF14" s="184"/>
      <c r="DG14" s="184"/>
      <c r="DH14" s="184"/>
      <c r="DI14" s="184"/>
      <c r="DJ14" s="184"/>
      <c r="DK14" s="184"/>
      <c r="DL14" s="184"/>
      <c r="DM14" s="184"/>
      <c r="DN14" s="184"/>
      <c r="DO14" s="184"/>
      <c r="DP14" s="184"/>
      <c r="DQ14" s="184"/>
      <c r="DR14" s="184"/>
      <c r="DS14" s="184"/>
      <c r="DT14" s="184"/>
      <c r="DU14" s="184"/>
      <c r="DV14" s="184"/>
      <c r="DW14" s="184"/>
      <c r="DX14" s="184"/>
      <c r="DY14" s="184"/>
      <c r="DZ14" s="184"/>
    </row>
    <row r="15" spans="1:130" ht="3.75" customHeight="1" x14ac:dyDescent="0.2">
      <c r="A15" s="184"/>
      <c r="B15" s="189"/>
      <c r="C15" s="189"/>
      <c r="D15" s="189"/>
      <c r="E15" s="189"/>
      <c r="F15" s="189"/>
      <c r="G15" s="189"/>
      <c r="H15" s="189"/>
      <c r="I15" s="189"/>
      <c r="J15" s="189"/>
      <c r="K15" s="189"/>
      <c r="L15" s="189"/>
      <c r="M15" s="189"/>
      <c r="N15" s="189"/>
      <c r="O15" s="189"/>
      <c r="P15" s="189"/>
      <c r="Q15" s="189"/>
      <c r="R15" s="189"/>
      <c r="S15" s="189"/>
      <c r="T15" s="189"/>
      <c r="U15" s="189"/>
      <c r="V15" s="189"/>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4"/>
      <c r="CR15" s="184"/>
      <c r="CS15" s="184"/>
      <c r="CT15" s="184"/>
      <c r="CU15" s="184"/>
      <c r="CV15" s="184"/>
      <c r="CW15" s="184"/>
      <c r="CX15" s="184"/>
      <c r="CY15" s="184"/>
      <c r="CZ15" s="184"/>
      <c r="DA15" s="184"/>
      <c r="DB15" s="184"/>
      <c r="DC15" s="184"/>
      <c r="DD15" s="184"/>
      <c r="DE15" s="184"/>
      <c r="DF15" s="184"/>
      <c r="DG15" s="184"/>
      <c r="DH15" s="184"/>
      <c r="DI15" s="184"/>
      <c r="DJ15" s="184"/>
      <c r="DK15" s="184"/>
      <c r="DL15" s="184"/>
      <c r="DM15" s="184"/>
      <c r="DN15" s="184"/>
      <c r="DO15" s="184"/>
      <c r="DP15" s="184"/>
      <c r="DQ15" s="184"/>
      <c r="DR15" s="184"/>
      <c r="DS15" s="184"/>
      <c r="DT15" s="184"/>
      <c r="DU15" s="184"/>
      <c r="DV15" s="184"/>
      <c r="DW15" s="184"/>
      <c r="DX15" s="184"/>
      <c r="DY15" s="184"/>
      <c r="DZ15" s="184"/>
    </row>
    <row r="16" spans="1:130" ht="12.75" customHeight="1" x14ac:dyDescent="0.2">
      <c r="A16" s="184"/>
      <c r="B16" s="186" t="s">
        <v>365</v>
      </c>
      <c r="C16" s="186"/>
      <c r="D16" s="186"/>
      <c r="E16" s="186"/>
      <c r="F16" s="186"/>
      <c r="G16" s="186"/>
      <c r="H16" s="186"/>
      <c r="I16" s="186"/>
      <c r="J16" s="186"/>
      <c r="K16" s="186"/>
      <c r="L16" s="186"/>
      <c r="M16" s="186"/>
      <c r="N16" s="186"/>
      <c r="O16" s="186"/>
      <c r="P16" s="186"/>
      <c r="Q16" s="186"/>
      <c r="R16" s="186"/>
      <c r="S16" s="186"/>
      <c r="T16" s="186"/>
      <c r="U16" s="186"/>
      <c r="V16" s="186"/>
      <c r="W16" s="186"/>
      <c r="X16" s="184"/>
      <c r="Y16" s="184"/>
      <c r="Z16" s="184"/>
      <c r="AA16" s="186" t="s">
        <v>366</v>
      </c>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6" t="s">
        <v>344</v>
      </c>
      <c r="BR16" s="184"/>
      <c r="BS16" s="184"/>
      <c r="BT16" s="184"/>
      <c r="BU16" s="184"/>
      <c r="BV16" s="184"/>
      <c r="BW16" s="184"/>
      <c r="BX16" s="184"/>
      <c r="BY16" s="184"/>
      <c r="BZ16" s="184"/>
      <c r="CA16" s="184"/>
      <c r="CB16" s="184"/>
      <c r="CC16" s="184"/>
      <c r="CD16" s="184"/>
      <c r="CE16" s="184"/>
      <c r="CF16" s="184"/>
      <c r="CG16" s="184"/>
      <c r="CH16" s="184"/>
      <c r="CI16" s="184"/>
      <c r="CJ16" s="184"/>
      <c r="CK16" s="184"/>
      <c r="CL16" s="184"/>
      <c r="CM16" s="184"/>
      <c r="CN16" s="184"/>
      <c r="CO16" s="184"/>
      <c r="CP16" s="184"/>
      <c r="CQ16" s="184"/>
      <c r="CR16" s="184"/>
      <c r="CS16" s="184"/>
      <c r="CT16" s="184"/>
      <c r="CU16" s="184"/>
      <c r="CV16" s="184"/>
      <c r="CW16" s="184"/>
      <c r="CX16" s="184"/>
      <c r="CY16" s="184"/>
      <c r="CZ16" s="184"/>
      <c r="DA16" s="184"/>
      <c r="DB16" s="184"/>
      <c r="DC16" s="184"/>
      <c r="DD16" s="184"/>
      <c r="DE16" s="184"/>
      <c r="DF16" s="184"/>
      <c r="DG16" s="184"/>
      <c r="DH16" s="184"/>
      <c r="DI16" s="184"/>
      <c r="DJ16" s="184"/>
      <c r="DK16" s="184"/>
      <c r="DL16" s="184"/>
      <c r="DM16" s="184"/>
      <c r="DN16" s="184"/>
      <c r="DO16" s="184"/>
      <c r="DP16" s="184"/>
      <c r="DQ16" s="184"/>
      <c r="DR16" s="184"/>
      <c r="DS16" s="184"/>
      <c r="DT16" s="184"/>
      <c r="DU16" s="184"/>
      <c r="DV16" s="184"/>
      <c r="DW16" s="184"/>
      <c r="DX16" s="184"/>
      <c r="DY16" s="184"/>
      <c r="DZ16" s="184"/>
    </row>
    <row r="17" spans="1:130" ht="2.1" customHeight="1" x14ac:dyDescent="0.2">
      <c r="A17" s="184"/>
      <c r="B17" s="186"/>
      <c r="C17" s="186"/>
      <c r="D17" s="186"/>
      <c r="E17" s="186"/>
      <c r="F17" s="186"/>
      <c r="G17" s="186"/>
      <c r="H17" s="186"/>
      <c r="I17" s="186"/>
      <c r="J17" s="186"/>
      <c r="K17" s="186"/>
      <c r="L17" s="186"/>
      <c r="M17" s="186"/>
      <c r="N17" s="186"/>
      <c r="O17" s="186"/>
      <c r="P17" s="186"/>
      <c r="Q17" s="186"/>
      <c r="R17" s="186"/>
      <c r="S17" s="186"/>
      <c r="T17" s="186"/>
      <c r="U17" s="186"/>
      <c r="V17" s="186"/>
      <c r="W17" s="186"/>
      <c r="X17" s="184"/>
      <c r="Y17" s="184"/>
      <c r="Z17" s="184"/>
      <c r="AA17" s="184"/>
      <c r="AB17" s="186"/>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6"/>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c r="CX17" s="184"/>
      <c r="CY17" s="184"/>
      <c r="CZ17" s="184"/>
      <c r="DA17" s="184"/>
      <c r="DB17" s="184"/>
      <c r="DC17" s="184"/>
      <c r="DD17" s="184"/>
      <c r="DE17" s="184"/>
      <c r="DF17" s="184"/>
      <c r="DG17" s="184"/>
      <c r="DH17" s="184"/>
      <c r="DI17" s="184"/>
      <c r="DJ17" s="184"/>
      <c r="DK17" s="184"/>
      <c r="DL17" s="184"/>
      <c r="DM17" s="184"/>
      <c r="DN17" s="184"/>
      <c r="DO17" s="184"/>
      <c r="DP17" s="184"/>
      <c r="DQ17" s="184"/>
      <c r="DR17" s="184"/>
      <c r="DS17" s="184"/>
      <c r="DT17" s="184"/>
      <c r="DU17" s="184"/>
      <c r="DV17" s="184"/>
      <c r="DW17" s="184"/>
      <c r="DX17" s="184"/>
      <c r="DY17" s="184"/>
      <c r="DZ17" s="184"/>
    </row>
    <row r="18" spans="1:130" ht="15" customHeight="1" x14ac:dyDescent="0.2">
      <c r="A18" s="184"/>
      <c r="B18" s="684" t="str">
        <f>Ortsauswahl!C178</f>
        <v/>
      </c>
      <c r="C18" s="685"/>
      <c r="D18" s="685"/>
      <c r="E18" s="685"/>
      <c r="F18" s="685"/>
      <c r="G18" s="685"/>
      <c r="H18" s="685"/>
      <c r="I18" s="685"/>
      <c r="J18" s="685"/>
      <c r="K18" s="685"/>
      <c r="L18" s="685"/>
      <c r="M18" s="685"/>
      <c r="N18" s="685"/>
      <c r="O18" s="685"/>
      <c r="P18" s="685"/>
      <c r="Q18" s="685"/>
      <c r="R18" s="685"/>
      <c r="S18" s="685"/>
      <c r="T18" s="685"/>
      <c r="U18" s="685"/>
      <c r="V18" s="685"/>
      <c r="W18" s="685"/>
      <c r="X18" s="685"/>
      <c r="Y18" s="686"/>
      <c r="Z18" s="186"/>
      <c r="AA18" s="684" t="str">
        <f>Ortsauswahl!C179</f>
        <v/>
      </c>
      <c r="AB18" s="685"/>
      <c r="AC18" s="685"/>
      <c r="AD18" s="685"/>
      <c r="AE18" s="685"/>
      <c r="AF18" s="685"/>
      <c r="AG18" s="685"/>
      <c r="AH18" s="685"/>
      <c r="AI18" s="685"/>
      <c r="AJ18" s="685"/>
      <c r="AK18" s="685"/>
      <c r="AL18" s="685"/>
      <c r="AM18" s="685"/>
      <c r="AN18" s="685"/>
      <c r="AO18" s="685"/>
      <c r="AP18" s="685"/>
      <c r="AQ18" s="685"/>
      <c r="AR18" s="685"/>
      <c r="AS18" s="685"/>
      <c r="AT18" s="685"/>
      <c r="AU18" s="685"/>
      <c r="AV18" s="685"/>
      <c r="AW18" s="685"/>
      <c r="AX18" s="685"/>
      <c r="AY18" s="685"/>
      <c r="AZ18" s="685"/>
      <c r="BA18" s="685"/>
      <c r="BB18" s="685"/>
      <c r="BC18" s="685"/>
      <c r="BD18" s="685"/>
      <c r="BE18" s="685"/>
      <c r="BF18" s="685"/>
      <c r="BG18" s="685"/>
      <c r="BH18" s="685"/>
      <c r="BI18" s="685"/>
      <c r="BJ18" s="685"/>
      <c r="BK18" s="685"/>
      <c r="BL18" s="685"/>
      <c r="BM18" s="685"/>
      <c r="BN18" s="685"/>
      <c r="BO18" s="686"/>
      <c r="BP18" s="184"/>
      <c r="BQ18" s="690" t="str">
        <f>Daten!B16</f>
        <v/>
      </c>
      <c r="BR18" s="691"/>
      <c r="BS18" s="691"/>
      <c r="BT18" s="691"/>
      <c r="BU18" s="691"/>
      <c r="BV18" s="691"/>
      <c r="BW18" s="692"/>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4"/>
      <c r="DD18" s="184"/>
      <c r="DE18" s="184"/>
      <c r="DF18" s="184"/>
      <c r="DG18" s="184"/>
      <c r="DH18" s="184"/>
      <c r="DI18" s="184"/>
      <c r="DJ18" s="184"/>
      <c r="DK18" s="184"/>
      <c r="DL18" s="184"/>
      <c r="DM18" s="184"/>
      <c r="DN18" s="184"/>
      <c r="DO18" s="184"/>
      <c r="DP18" s="184"/>
      <c r="DQ18" s="184"/>
      <c r="DR18" s="184"/>
      <c r="DS18" s="184"/>
      <c r="DT18" s="184"/>
      <c r="DU18" s="184"/>
      <c r="DV18" s="184"/>
      <c r="DW18" s="184"/>
      <c r="DX18" s="184"/>
      <c r="DY18" s="184"/>
      <c r="DZ18" s="184"/>
    </row>
    <row r="19" spans="1:130" ht="10.15" customHeight="1" x14ac:dyDescent="0.2">
      <c r="A19" s="184"/>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4"/>
      <c r="CO19" s="184"/>
      <c r="CP19" s="184"/>
      <c r="CQ19" s="184"/>
      <c r="CR19" s="184"/>
      <c r="CS19" s="184"/>
      <c r="CT19" s="184"/>
      <c r="CU19" s="184"/>
      <c r="CV19" s="184"/>
      <c r="CW19" s="184"/>
      <c r="CX19" s="184"/>
      <c r="CY19" s="184"/>
      <c r="CZ19" s="184"/>
      <c r="DA19" s="184"/>
      <c r="DB19" s="184"/>
      <c r="DC19" s="184"/>
      <c r="DD19" s="184"/>
      <c r="DE19" s="184"/>
      <c r="DF19" s="184"/>
      <c r="DG19" s="184"/>
      <c r="DH19" s="184"/>
      <c r="DI19" s="184"/>
      <c r="DJ19" s="184"/>
      <c r="DK19" s="184"/>
      <c r="DL19" s="184"/>
      <c r="DM19" s="184"/>
      <c r="DN19" s="184"/>
      <c r="DO19" s="184"/>
      <c r="DP19" s="184"/>
      <c r="DQ19" s="184"/>
      <c r="DR19" s="184"/>
      <c r="DS19" s="184"/>
      <c r="DT19" s="184"/>
      <c r="DU19" s="184"/>
      <c r="DV19" s="184"/>
      <c r="DW19" s="184"/>
      <c r="DX19" s="184"/>
      <c r="DY19" s="184"/>
      <c r="DZ19" s="184"/>
    </row>
    <row r="20" spans="1:130" ht="15" customHeight="1" x14ac:dyDescent="0.25">
      <c r="A20" s="184"/>
      <c r="B20" s="661" t="s">
        <v>899</v>
      </c>
      <c r="C20" s="680"/>
      <c r="D20" s="680"/>
      <c r="E20" s="680"/>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0"/>
      <c r="AH20" s="680"/>
      <c r="AI20" s="680"/>
      <c r="AJ20" s="680"/>
      <c r="AK20" s="680"/>
      <c r="AL20" s="680"/>
      <c r="AM20" s="680"/>
      <c r="AN20" s="680"/>
      <c r="AO20" s="680"/>
      <c r="AP20" s="680"/>
      <c r="AQ20" s="680"/>
      <c r="AR20" s="680"/>
      <c r="AS20" s="680"/>
      <c r="AT20" s="680"/>
      <c r="AU20" s="680"/>
      <c r="AV20" s="680"/>
      <c r="AW20" s="680"/>
      <c r="AX20" s="680"/>
      <c r="AY20" s="680"/>
      <c r="AZ20" s="680"/>
      <c r="BA20" s="680"/>
      <c r="BB20" s="680"/>
      <c r="BC20" s="680"/>
      <c r="BD20" s="680"/>
      <c r="BE20" s="680"/>
      <c r="BF20" s="680"/>
      <c r="BG20" s="680"/>
      <c r="BH20" s="680"/>
      <c r="BI20" s="680"/>
      <c r="BJ20" s="680"/>
      <c r="BK20" s="680"/>
      <c r="BL20" s="680"/>
      <c r="BM20" s="680"/>
      <c r="BN20" s="680"/>
      <c r="BO20" s="680"/>
      <c r="BP20" s="680"/>
      <c r="BQ20" s="680"/>
      <c r="BR20" s="680"/>
      <c r="BS20" s="680"/>
      <c r="BT20" s="680"/>
      <c r="BU20" s="680"/>
      <c r="BV20" s="680"/>
      <c r="BW20" s="680"/>
      <c r="BX20" s="680"/>
      <c r="BY20" s="680"/>
      <c r="BZ20" s="184"/>
      <c r="CA20" s="184"/>
      <c r="CB20" s="184"/>
      <c r="CC20" s="184"/>
      <c r="CD20" s="184"/>
      <c r="CE20" s="184"/>
      <c r="CF20" s="184"/>
      <c r="CG20" s="184"/>
      <c r="CH20" s="184"/>
      <c r="CI20" s="184"/>
      <c r="CJ20" s="184"/>
      <c r="CK20" s="184"/>
      <c r="CL20" s="184"/>
      <c r="CM20" s="184"/>
      <c r="CN20" s="184"/>
      <c r="CO20" s="184"/>
      <c r="CP20" s="184"/>
      <c r="CQ20" s="184"/>
      <c r="CR20" s="184"/>
      <c r="CS20" s="184"/>
      <c r="CT20" s="184"/>
      <c r="CU20" s="184"/>
      <c r="CV20" s="184"/>
      <c r="CW20" s="184"/>
      <c r="CX20" s="184"/>
      <c r="CY20" s="184"/>
      <c r="CZ20" s="184"/>
      <c r="DA20" s="184"/>
      <c r="DB20" s="184"/>
      <c r="DC20" s="184"/>
      <c r="DD20" s="184"/>
      <c r="DE20" s="184"/>
      <c r="DF20" s="184"/>
      <c r="DG20" s="184"/>
      <c r="DH20" s="184"/>
      <c r="DI20" s="184"/>
      <c r="DJ20" s="184"/>
      <c r="DK20" s="184"/>
      <c r="DL20" s="184"/>
      <c r="DM20" s="184"/>
      <c r="DN20" s="184"/>
      <c r="DO20" s="184"/>
      <c r="DP20" s="184"/>
      <c r="DQ20" s="184"/>
      <c r="DR20" s="184"/>
      <c r="DS20" s="184"/>
      <c r="DT20" s="184"/>
      <c r="DU20" s="184"/>
      <c r="DV20" s="184"/>
      <c r="DW20" s="184"/>
      <c r="DX20" s="184"/>
      <c r="DY20" s="184"/>
      <c r="DZ20" s="184"/>
    </row>
    <row r="21" spans="1:130" ht="6" customHeight="1" x14ac:dyDescent="0.2">
      <c r="A21" s="184"/>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c r="CX21" s="184"/>
      <c r="CY21" s="184"/>
      <c r="CZ21" s="184"/>
      <c r="DA21" s="184"/>
      <c r="DB21" s="184"/>
      <c r="DC21" s="184"/>
      <c r="DD21" s="184"/>
      <c r="DE21" s="184"/>
      <c r="DF21" s="184"/>
      <c r="DG21" s="184"/>
      <c r="DH21" s="184"/>
      <c r="DI21" s="184"/>
      <c r="DJ21" s="184"/>
      <c r="DK21" s="184"/>
      <c r="DL21" s="184"/>
      <c r="DM21" s="184"/>
      <c r="DN21" s="184"/>
      <c r="DO21" s="184"/>
      <c r="DP21" s="184"/>
      <c r="DQ21" s="184"/>
      <c r="DR21" s="184"/>
      <c r="DS21" s="184"/>
      <c r="DT21" s="184"/>
      <c r="DU21" s="184"/>
      <c r="DV21" s="184"/>
      <c r="DW21" s="184"/>
      <c r="DX21" s="184"/>
      <c r="DY21" s="184"/>
      <c r="DZ21" s="184"/>
    </row>
    <row r="22" spans="1:130" ht="14.1" customHeight="1" x14ac:dyDescent="0.2">
      <c r="A22" s="184"/>
      <c r="B22" s="190" t="s">
        <v>411</v>
      </c>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626" t="str">
        <f>IF(Daten!K79&gt;0,"Auf BG entfal-","")</f>
        <v/>
      </c>
      <c r="BP22" s="626"/>
      <c r="BQ22" s="626"/>
      <c r="BR22" s="626"/>
      <c r="BS22" s="626"/>
      <c r="BT22" s="626"/>
      <c r="BU22" s="626"/>
      <c r="BV22" s="626"/>
      <c r="BW22" s="626"/>
      <c r="BX22" s="626"/>
      <c r="BY22" s="626"/>
      <c r="BZ22" s="184"/>
      <c r="CA22" s="184"/>
      <c r="CB22" s="184"/>
      <c r="CC22" s="184"/>
      <c r="CD22" s="184"/>
      <c r="CE22" s="184"/>
      <c r="CF22" s="184"/>
      <c r="CG22" s="184"/>
      <c r="CH22" s="184"/>
      <c r="CI22" s="184"/>
      <c r="CJ22" s="184"/>
      <c r="CK22" s="184"/>
      <c r="CL22" s="184"/>
      <c r="CM22" s="184"/>
      <c r="CN22" s="184"/>
      <c r="CO22" s="184"/>
      <c r="CP22" s="184"/>
      <c r="CQ22" s="184"/>
      <c r="CR22" s="184"/>
      <c r="CS22" s="184"/>
      <c r="CT22" s="184"/>
      <c r="CU22" s="184"/>
      <c r="CV22" s="184"/>
      <c r="CW22" s="184"/>
      <c r="CX22" s="184"/>
      <c r="CY22" s="184"/>
      <c r="CZ22" s="184"/>
      <c r="DA22" s="184"/>
      <c r="DB22" s="184"/>
      <c r="DC22" s="184"/>
      <c r="DD22" s="184"/>
      <c r="DE22" s="184"/>
      <c r="DF22" s="184"/>
      <c r="DG22" s="184"/>
      <c r="DH22" s="184"/>
      <c r="DI22" s="184"/>
      <c r="DJ22" s="184"/>
      <c r="DK22" s="184"/>
      <c r="DL22" s="184"/>
      <c r="DM22" s="184"/>
      <c r="DN22" s="184"/>
      <c r="DO22" s="184"/>
      <c r="DP22" s="184"/>
      <c r="DQ22" s="184"/>
      <c r="DR22" s="184"/>
      <c r="DS22" s="184"/>
      <c r="DT22" s="184"/>
      <c r="DU22" s="184"/>
      <c r="DV22" s="184"/>
      <c r="DW22" s="184"/>
      <c r="DX22" s="184"/>
      <c r="DY22" s="184"/>
      <c r="DZ22" s="184"/>
    </row>
    <row r="23" spans="1:130" ht="5.0999999999999996" customHeight="1" x14ac:dyDescent="0.2">
      <c r="A23" s="184"/>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626"/>
      <c r="BP23" s="626"/>
      <c r="BQ23" s="626"/>
      <c r="BR23" s="626"/>
      <c r="BS23" s="626"/>
      <c r="BT23" s="626"/>
      <c r="BU23" s="626"/>
      <c r="BV23" s="626"/>
      <c r="BW23" s="626"/>
      <c r="BX23" s="626"/>
      <c r="BY23" s="626"/>
      <c r="BZ23" s="184"/>
      <c r="CA23" s="184"/>
      <c r="CB23" s="184"/>
      <c r="CC23" s="184"/>
      <c r="CD23" s="184"/>
      <c r="CE23" s="184"/>
      <c r="CF23" s="184"/>
      <c r="CG23" s="184"/>
      <c r="CH23" s="184"/>
      <c r="CI23" s="184"/>
      <c r="CJ23" s="184"/>
      <c r="CK23" s="184"/>
      <c r="CL23" s="184"/>
      <c r="CM23" s="184"/>
      <c r="CN23" s="184"/>
      <c r="CO23" s="184"/>
      <c r="CP23" s="184"/>
      <c r="CQ23" s="184"/>
      <c r="CR23" s="184"/>
      <c r="CS23" s="184"/>
      <c r="CT23" s="184"/>
      <c r="CU23" s="184"/>
      <c r="CV23" s="184"/>
      <c r="CW23" s="184"/>
      <c r="CX23" s="184"/>
      <c r="CY23" s="184"/>
      <c r="CZ23" s="184"/>
      <c r="DA23" s="184"/>
      <c r="DB23" s="184"/>
      <c r="DC23" s="184"/>
      <c r="DD23" s="184"/>
      <c r="DE23" s="184"/>
      <c r="DF23" s="184"/>
      <c r="DG23" s="184"/>
      <c r="DH23" s="184"/>
      <c r="DI23" s="184"/>
      <c r="DJ23" s="184"/>
      <c r="DK23" s="184"/>
      <c r="DL23" s="184"/>
      <c r="DM23" s="184"/>
      <c r="DN23" s="184"/>
      <c r="DO23" s="184"/>
      <c r="DP23" s="184"/>
      <c r="DQ23" s="184"/>
      <c r="DR23" s="184"/>
      <c r="DS23" s="184"/>
      <c r="DT23" s="184"/>
      <c r="DU23" s="184"/>
      <c r="DV23" s="184"/>
      <c r="DW23" s="184"/>
      <c r="DX23" s="184"/>
      <c r="DY23" s="184"/>
      <c r="DZ23" s="184"/>
    </row>
    <row r="24" spans="1:130" ht="14.1" customHeight="1" x14ac:dyDescent="0.2">
      <c r="A24" s="184"/>
      <c r="B24" s="184" t="s">
        <v>451</v>
      </c>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693"/>
      <c r="AH24" s="694"/>
      <c r="AI24" s="694"/>
      <c r="AJ24" s="694"/>
      <c r="AK24" s="694"/>
      <c r="AL24" s="694"/>
      <c r="AM24" s="694"/>
      <c r="AN24" s="694"/>
      <c r="AO24" s="694"/>
      <c r="AP24" s="694"/>
      <c r="AQ24" s="695"/>
      <c r="AR24" s="184"/>
      <c r="AS24" s="184"/>
      <c r="AT24" s="184"/>
      <c r="AU24" s="184"/>
      <c r="AV24" s="184"/>
      <c r="AW24" s="191" t="str">
        <f>IF(Daten!D54=0,"(Pflichtfeld)",IF(AG24&lt;Daten!M28,"Berechnung erst ab 01.11.2019 möglich",""))</f>
        <v>(Pflichtfeld)</v>
      </c>
      <c r="AX24" s="184"/>
      <c r="AY24" s="184"/>
      <c r="AZ24" s="184"/>
      <c r="BA24" s="184"/>
      <c r="BB24" s="184"/>
      <c r="BC24" s="184"/>
      <c r="BD24" s="184"/>
      <c r="BE24" s="184"/>
      <c r="BF24" s="184"/>
      <c r="BG24" s="184"/>
      <c r="BH24" s="184"/>
      <c r="BI24" s="184"/>
      <c r="BJ24" s="184"/>
      <c r="BK24" s="184"/>
      <c r="BL24" s="184"/>
      <c r="BM24" s="184"/>
      <c r="BN24" s="184"/>
      <c r="BO24" s="622" t="str">
        <f>IF(Daten!K79&gt;0,"lende Anteile:","")</f>
        <v/>
      </c>
      <c r="BP24" s="622"/>
      <c r="BQ24" s="622"/>
      <c r="BR24" s="622"/>
      <c r="BS24" s="622"/>
      <c r="BT24" s="622"/>
      <c r="BU24" s="622"/>
      <c r="BV24" s="622"/>
      <c r="BW24" s="622"/>
      <c r="BX24" s="622"/>
      <c r="BY24" s="622"/>
      <c r="BZ24" s="184"/>
      <c r="CA24" s="184"/>
      <c r="CB24" s="184"/>
      <c r="CC24" s="184"/>
      <c r="CD24" s="184"/>
      <c r="CE24" s="184"/>
      <c r="CF24" s="184"/>
      <c r="CG24" s="184"/>
      <c r="CH24" s="184"/>
      <c r="CI24" s="184"/>
      <c r="CJ24" s="184"/>
      <c r="CK24" s="184"/>
      <c r="CL24" s="184"/>
      <c r="CM24" s="184"/>
      <c r="CN24" s="184"/>
      <c r="CO24" s="184"/>
      <c r="CP24" s="184"/>
      <c r="CQ24" s="184"/>
      <c r="CR24" s="184"/>
      <c r="CS24" s="184"/>
      <c r="CT24" s="184"/>
      <c r="CU24" s="184"/>
      <c r="CV24" s="184"/>
      <c r="CW24" s="184"/>
      <c r="CX24" s="184"/>
      <c r="CY24" s="184"/>
      <c r="CZ24" s="184"/>
      <c r="DA24" s="184"/>
      <c r="DB24" s="184"/>
      <c r="DC24" s="184"/>
      <c r="DD24" s="184"/>
      <c r="DE24" s="184"/>
      <c r="DF24" s="184"/>
      <c r="DG24" s="184"/>
      <c r="DH24" s="184"/>
      <c r="DI24" s="184"/>
      <c r="DJ24" s="184"/>
      <c r="DK24" s="184"/>
      <c r="DL24" s="184"/>
      <c r="DM24" s="184"/>
      <c r="DN24" s="184"/>
      <c r="DO24" s="184"/>
      <c r="DP24" s="184"/>
      <c r="DQ24" s="184"/>
      <c r="DR24" s="184"/>
      <c r="DS24" s="184"/>
      <c r="DT24" s="184"/>
      <c r="DU24" s="184"/>
      <c r="DV24" s="184"/>
      <c r="DW24" s="184"/>
      <c r="DX24" s="184"/>
      <c r="DY24" s="184"/>
      <c r="DZ24" s="184"/>
    </row>
    <row r="25" spans="1:130" ht="6.6" customHeight="1" x14ac:dyDescent="0.2">
      <c r="A25" s="184"/>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c r="CA25" s="184"/>
      <c r="CB25" s="184"/>
      <c r="CC25" s="184"/>
      <c r="CD25" s="184"/>
      <c r="CE25" s="184"/>
      <c r="CF25" s="184"/>
      <c r="CG25" s="184"/>
      <c r="CH25" s="184"/>
      <c r="CI25" s="184"/>
      <c r="CJ25" s="184"/>
      <c r="CK25" s="184"/>
      <c r="CL25" s="184"/>
      <c r="CM25" s="184"/>
      <c r="CN25" s="184"/>
      <c r="CO25" s="184"/>
      <c r="CP25" s="184"/>
      <c r="CQ25" s="184"/>
      <c r="CR25" s="184"/>
      <c r="CS25" s="184"/>
      <c r="CT25" s="184"/>
      <c r="CU25" s="184"/>
      <c r="CV25" s="184"/>
      <c r="CW25" s="184"/>
      <c r="CX25" s="184"/>
      <c r="CY25" s="184"/>
      <c r="CZ25" s="184"/>
      <c r="DA25" s="184"/>
      <c r="DB25" s="184"/>
      <c r="DC25" s="184"/>
      <c r="DD25" s="184"/>
      <c r="DE25" s="184"/>
      <c r="DF25" s="184"/>
      <c r="DG25" s="184"/>
      <c r="DH25" s="184"/>
      <c r="DI25" s="184"/>
      <c r="DJ25" s="184"/>
      <c r="DK25" s="184"/>
      <c r="DL25" s="184"/>
      <c r="DM25" s="184"/>
      <c r="DN25" s="184"/>
      <c r="DO25" s="184"/>
      <c r="DP25" s="184"/>
      <c r="DQ25" s="184"/>
      <c r="DR25" s="184"/>
      <c r="DS25" s="184"/>
      <c r="DT25" s="184"/>
      <c r="DU25" s="184"/>
      <c r="DV25" s="184"/>
      <c r="DW25" s="184"/>
      <c r="DX25" s="184"/>
      <c r="DY25" s="184"/>
      <c r="DZ25" s="184"/>
    </row>
    <row r="26" spans="1:130" ht="14.1" customHeight="1" x14ac:dyDescent="0.25">
      <c r="A26" s="184"/>
      <c r="B26" s="184" t="s">
        <v>848</v>
      </c>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637"/>
      <c r="AH26" s="638"/>
      <c r="AI26" s="638"/>
      <c r="AJ26" s="638"/>
      <c r="AK26" s="638"/>
      <c r="AL26" s="638"/>
      <c r="AM26" s="638"/>
      <c r="AN26" s="638"/>
      <c r="AO26" s="638"/>
      <c r="AP26" s="638"/>
      <c r="AQ26" s="639"/>
      <c r="AR26" s="184"/>
      <c r="AS26" s="184" t="s">
        <v>853</v>
      </c>
      <c r="AT26" s="184"/>
      <c r="AU26" s="184"/>
      <c r="AV26" s="184"/>
      <c r="AW26" s="184"/>
      <c r="AX26" s="184"/>
      <c r="AY26" s="184"/>
      <c r="AZ26" s="184"/>
      <c r="BA26" s="184"/>
      <c r="BB26" s="184"/>
      <c r="BC26" s="184"/>
      <c r="BD26" s="187" t="str">
        <f>IF(Daten!D60=0,"(Pflichtfeld)","")</f>
        <v>(Pflichtfeld)</v>
      </c>
      <c r="BE26" s="192" t="str">
        <f>IF(Daten!K79&gt;0,"→","")</f>
        <v/>
      </c>
      <c r="BF26" s="184"/>
      <c r="BG26" s="184"/>
      <c r="BH26" s="184"/>
      <c r="BI26" s="184"/>
      <c r="BJ26" s="184"/>
      <c r="BK26" s="184"/>
      <c r="BL26" s="184"/>
      <c r="BM26" s="184"/>
      <c r="BN26" s="184"/>
      <c r="BO26" s="627" t="str">
        <f>IF(Daten!K79&gt;0,Daten!H83,"")</f>
        <v/>
      </c>
      <c r="BP26" s="627"/>
      <c r="BQ26" s="627"/>
      <c r="BR26" s="627"/>
      <c r="BS26" s="627"/>
      <c r="BT26" s="627"/>
      <c r="BU26" s="627"/>
      <c r="BV26" s="627"/>
      <c r="BW26" s="622" t="str">
        <f>IF(Daten!K79&gt;0,"€","")</f>
        <v/>
      </c>
      <c r="BX26" s="622"/>
      <c r="BY26" s="622"/>
      <c r="BZ26" s="184"/>
      <c r="CA26" s="184"/>
      <c r="CB26" s="184"/>
      <c r="CC26" s="184"/>
      <c r="CD26" s="184"/>
      <c r="CE26" s="184"/>
      <c r="CF26" s="184"/>
      <c r="CG26" s="184"/>
      <c r="CH26" s="184"/>
      <c r="CI26" s="184"/>
      <c r="CJ26" s="184"/>
      <c r="CK26" s="184"/>
      <c r="CL26" s="184"/>
      <c r="CM26" s="184"/>
      <c r="CN26" s="184"/>
      <c r="CO26" s="184"/>
      <c r="CP26" s="184"/>
      <c r="CQ26" s="184"/>
      <c r="CR26" s="184"/>
      <c r="CS26" s="184"/>
      <c r="CT26" s="184"/>
      <c r="CU26" s="184"/>
      <c r="CV26" s="184"/>
      <c r="CW26" s="184"/>
      <c r="CX26" s="184"/>
      <c r="CY26" s="184"/>
      <c r="CZ26" s="184"/>
      <c r="DA26" s="184"/>
      <c r="DB26" s="184"/>
      <c r="DC26" s="184"/>
      <c r="DD26" s="184"/>
      <c r="DE26" s="184"/>
      <c r="DF26" s="184"/>
      <c r="DG26" s="184"/>
      <c r="DH26" s="184"/>
      <c r="DI26" s="184"/>
      <c r="DJ26" s="184"/>
      <c r="DK26" s="184"/>
      <c r="DL26" s="184"/>
      <c r="DM26" s="184"/>
      <c r="DN26" s="184"/>
      <c r="DO26" s="184"/>
      <c r="DP26" s="184"/>
      <c r="DQ26" s="184"/>
      <c r="DR26" s="184"/>
      <c r="DS26" s="184"/>
      <c r="DT26" s="184"/>
      <c r="DU26" s="184"/>
      <c r="DV26" s="184"/>
      <c r="DW26" s="184"/>
      <c r="DX26" s="184"/>
      <c r="DY26" s="184"/>
      <c r="DZ26" s="184"/>
    </row>
    <row r="27" spans="1:130" ht="6.6" customHeight="1" x14ac:dyDescent="0.2">
      <c r="A27" s="184"/>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184"/>
      <c r="BG27" s="184"/>
      <c r="BH27" s="184"/>
      <c r="BI27" s="184"/>
      <c r="BJ27" s="184"/>
      <c r="BK27" s="184"/>
      <c r="BL27" s="184"/>
      <c r="BM27" s="184"/>
      <c r="BN27" s="184"/>
      <c r="BO27" s="193"/>
      <c r="BP27" s="193"/>
      <c r="BQ27" s="193"/>
      <c r="BR27" s="193"/>
      <c r="BS27" s="193"/>
      <c r="BT27" s="193"/>
      <c r="BU27" s="193"/>
      <c r="BV27" s="193"/>
      <c r="BW27" s="184"/>
      <c r="BX27" s="184"/>
      <c r="BY27" s="184"/>
      <c r="BZ27" s="184"/>
      <c r="CA27" s="184"/>
      <c r="CB27" s="184"/>
      <c r="CC27" s="184"/>
      <c r="CD27" s="184"/>
      <c r="CE27" s="184"/>
      <c r="CF27" s="184"/>
      <c r="CG27" s="184"/>
      <c r="CH27" s="184"/>
      <c r="CI27" s="184"/>
      <c r="CJ27" s="184"/>
      <c r="CK27" s="184"/>
      <c r="CL27" s="184"/>
      <c r="CM27" s="184"/>
      <c r="CN27" s="184"/>
      <c r="CO27" s="184"/>
      <c r="CP27" s="184"/>
      <c r="CQ27" s="184"/>
      <c r="CR27" s="184"/>
      <c r="CS27" s="184"/>
      <c r="CT27" s="184"/>
      <c r="CU27" s="184"/>
      <c r="CV27" s="184"/>
      <c r="CW27" s="184"/>
      <c r="CX27" s="184"/>
      <c r="CY27" s="184"/>
      <c r="CZ27" s="184"/>
      <c r="DA27" s="184"/>
      <c r="DB27" s="184"/>
      <c r="DC27" s="184"/>
      <c r="DD27" s="184"/>
      <c r="DE27" s="184"/>
      <c r="DF27" s="184"/>
      <c r="DG27" s="184"/>
      <c r="DH27" s="184"/>
      <c r="DI27" s="184"/>
      <c r="DJ27" s="184"/>
      <c r="DK27" s="184"/>
      <c r="DL27" s="184"/>
      <c r="DM27" s="184"/>
      <c r="DN27" s="184"/>
      <c r="DO27" s="184"/>
      <c r="DP27" s="184"/>
      <c r="DQ27" s="184"/>
      <c r="DR27" s="184"/>
      <c r="DS27" s="184"/>
      <c r="DT27" s="184"/>
      <c r="DU27" s="184"/>
      <c r="DV27" s="184"/>
      <c r="DW27" s="184"/>
      <c r="DX27" s="184"/>
      <c r="DY27" s="184"/>
      <c r="DZ27" s="184"/>
    </row>
    <row r="28" spans="1:130" ht="14.1" customHeight="1" x14ac:dyDescent="0.2">
      <c r="A28" s="184"/>
      <c r="B28" s="184" t="s">
        <v>856</v>
      </c>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634"/>
      <c r="AH28" s="635"/>
      <c r="AI28" s="635"/>
      <c r="AJ28" s="635"/>
      <c r="AK28" s="635"/>
      <c r="AL28" s="635"/>
      <c r="AM28" s="635"/>
      <c r="AN28" s="635"/>
      <c r="AO28" s="635"/>
      <c r="AP28" s="635"/>
      <c r="AQ28" s="636"/>
      <c r="AR28" s="184"/>
      <c r="AS28" s="194" t="s">
        <v>855</v>
      </c>
      <c r="AT28" s="184"/>
      <c r="AU28" s="184"/>
      <c r="AV28" s="184"/>
      <c r="AW28" s="184"/>
      <c r="AX28" s="184"/>
      <c r="AY28" s="184"/>
      <c r="AZ28" s="184"/>
      <c r="BA28" s="184"/>
      <c r="BB28" s="184"/>
      <c r="BC28" s="184"/>
      <c r="BD28" s="187" t="str">
        <f>IF(Daten!D55=0,"(Pflichtfeld)","")</f>
        <v>(Pflichtfeld)</v>
      </c>
      <c r="BE28" s="184"/>
      <c r="BF28" s="184"/>
      <c r="BG28" s="184"/>
      <c r="BH28" s="184"/>
      <c r="BI28" s="184"/>
      <c r="BJ28" s="184"/>
      <c r="BK28" s="184"/>
      <c r="BL28" s="184"/>
      <c r="BM28" s="184"/>
      <c r="BN28" s="184"/>
      <c r="BO28" s="193"/>
      <c r="BP28" s="193"/>
      <c r="BQ28" s="193"/>
      <c r="BR28" s="193"/>
      <c r="BS28" s="193"/>
      <c r="BT28" s="193"/>
      <c r="BU28" s="193"/>
      <c r="BV28" s="193"/>
      <c r="BW28" s="184"/>
      <c r="BX28" s="184"/>
      <c r="BY28" s="184"/>
      <c r="BZ28" s="184"/>
      <c r="CA28" s="184"/>
      <c r="CB28" s="184"/>
      <c r="CC28" s="184"/>
      <c r="CD28" s="184"/>
      <c r="CE28" s="184"/>
      <c r="CF28" s="184"/>
      <c r="CG28" s="184"/>
      <c r="CH28" s="184"/>
      <c r="CI28" s="184"/>
      <c r="CJ28" s="184"/>
      <c r="CK28" s="184"/>
      <c r="CL28" s="184"/>
      <c r="CM28" s="184"/>
      <c r="CN28" s="184"/>
      <c r="CO28" s="184"/>
      <c r="CP28" s="184"/>
      <c r="CQ28" s="184"/>
      <c r="CR28" s="184"/>
      <c r="CS28" s="184"/>
      <c r="CT28" s="184"/>
      <c r="CU28" s="184"/>
      <c r="CV28" s="184"/>
      <c r="CW28" s="184"/>
      <c r="CX28" s="184"/>
      <c r="CY28" s="184"/>
      <c r="CZ28" s="184"/>
      <c r="DA28" s="184"/>
      <c r="DB28" s="184"/>
      <c r="DC28" s="184"/>
      <c r="DD28" s="184"/>
      <c r="DE28" s="184"/>
      <c r="DF28" s="184"/>
      <c r="DG28" s="184"/>
      <c r="DH28" s="184"/>
      <c r="DI28" s="184"/>
      <c r="DJ28" s="184"/>
      <c r="DK28" s="184"/>
      <c r="DL28" s="184"/>
      <c r="DM28" s="184"/>
      <c r="DN28" s="184"/>
      <c r="DO28" s="184"/>
      <c r="DP28" s="184"/>
      <c r="DQ28" s="184"/>
      <c r="DR28" s="184"/>
      <c r="DS28" s="184"/>
      <c r="DT28" s="184"/>
      <c r="DU28" s="184"/>
      <c r="DV28" s="184"/>
      <c r="DW28" s="184"/>
      <c r="DX28" s="184"/>
      <c r="DY28" s="184"/>
      <c r="DZ28" s="184"/>
    </row>
    <row r="29" spans="1:130" ht="6.6" customHeight="1" x14ac:dyDescent="0.2">
      <c r="A29" s="184"/>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93"/>
      <c r="BP29" s="193"/>
      <c r="BQ29" s="193"/>
      <c r="BR29" s="193"/>
      <c r="BS29" s="193"/>
      <c r="BT29" s="193"/>
      <c r="BU29" s="193"/>
      <c r="BV29" s="193"/>
      <c r="BW29" s="184"/>
      <c r="BX29" s="184"/>
      <c r="BY29" s="184"/>
      <c r="BZ29" s="184"/>
      <c r="CA29" s="184"/>
      <c r="CB29" s="184"/>
      <c r="CC29" s="184"/>
      <c r="CD29" s="184"/>
      <c r="CE29" s="184"/>
      <c r="CF29" s="184"/>
      <c r="CG29" s="184"/>
      <c r="CH29" s="184"/>
      <c r="CI29" s="184"/>
      <c r="CJ29" s="184"/>
      <c r="CK29" s="184"/>
      <c r="CL29" s="184"/>
      <c r="CM29" s="184"/>
      <c r="CN29" s="184"/>
      <c r="CO29" s="184"/>
      <c r="CP29" s="184"/>
      <c r="CQ29" s="184"/>
      <c r="CR29" s="184"/>
      <c r="CS29" s="184"/>
      <c r="CT29" s="184"/>
      <c r="CU29" s="184"/>
      <c r="CV29" s="184"/>
      <c r="CW29" s="184"/>
      <c r="CX29" s="184"/>
      <c r="CY29" s="184"/>
      <c r="CZ29" s="184"/>
      <c r="DA29" s="184"/>
      <c r="DB29" s="184"/>
      <c r="DC29" s="184"/>
      <c r="DD29" s="184"/>
      <c r="DE29" s="184"/>
      <c r="DF29" s="184"/>
      <c r="DG29" s="184"/>
      <c r="DH29" s="184"/>
      <c r="DI29" s="184"/>
      <c r="DJ29" s="184"/>
      <c r="DK29" s="184"/>
      <c r="DL29" s="184"/>
      <c r="DM29" s="184"/>
      <c r="DN29" s="184"/>
      <c r="DO29" s="184"/>
      <c r="DP29" s="184"/>
      <c r="DQ29" s="184"/>
      <c r="DR29" s="184"/>
      <c r="DS29" s="184"/>
      <c r="DT29" s="184"/>
      <c r="DU29" s="184"/>
      <c r="DV29" s="184"/>
      <c r="DW29" s="184"/>
      <c r="DX29" s="184"/>
      <c r="DY29" s="184"/>
      <c r="DZ29" s="184"/>
    </row>
    <row r="30" spans="1:130" ht="14.1" customHeight="1" x14ac:dyDescent="0.2">
      <c r="A30" s="184"/>
      <c r="B30" s="679" t="s">
        <v>988</v>
      </c>
      <c r="C30" s="679"/>
      <c r="D30" s="679"/>
      <c r="E30" s="679"/>
      <c r="F30" s="679"/>
      <c r="G30" s="679"/>
      <c r="H30" s="679"/>
      <c r="I30" s="679"/>
      <c r="J30" s="679"/>
      <c r="K30" s="679"/>
      <c r="L30" s="679"/>
      <c r="M30" s="679"/>
      <c r="N30" s="679"/>
      <c r="O30" s="679"/>
      <c r="P30" s="679"/>
      <c r="Q30" s="679"/>
      <c r="R30" s="679"/>
      <c r="S30" s="679"/>
      <c r="T30" s="679"/>
      <c r="U30" s="679"/>
      <c r="V30" s="679"/>
      <c r="W30" s="679"/>
      <c r="X30" s="679"/>
      <c r="Y30" s="679"/>
      <c r="Z30" s="679"/>
      <c r="AA30" s="679"/>
      <c r="AB30" s="679"/>
      <c r="AC30" s="679"/>
      <c r="AD30" s="679"/>
      <c r="AE30" s="679"/>
      <c r="AF30" s="679"/>
      <c r="AG30" s="631"/>
      <c r="AH30" s="632"/>
      <c r="AI30" s="632"/>
      <c r="AJ30" s="632"/>
      <c r="AK30" s="632"/>
      <c r="AL30" s="632"/>
      <c r="AM30" s="632"/>
      <c r="AN30" s="632"/>
      <c r="AO30" s="632"/>
      <c r="AP30" s="632"/>
      <c r="AQ30" s="633"/>
      <c r="AR30" s="184"/>
      <c r="AS30" s="195" t="s">
        <v>855</v>
      </c>
      <c r="AT30" s="195"/>
      <c r="AU30" s="195"/>
      <c r="AV30" s="195"/>
      <c r="AW30" s="195"/>
      <c r="AX30" s="184"/>
      <c r="AY30" s="184"/>
      <c r="AZ30" s="184"/>
      <c r="BA30" s="184"/>
      <c r="BB30" s="184"/>
      <c r="BC30" s="184"/>
      <c r="BD30" s="187" t="str">
        <f>IF(AG30="","(Pflichtfeld)","")</f>
        <v>(Pflichtfeld)</v>
      </c>
      <c r="BE30" s="184"/>
      <c r="BF30" s="184"/>
      <c r="BG30" s="184"/>
      <c r="BH30" s="184"/>
      <c r="BI30" s="184"/>
      <c r="BJ30" s="184"/>
      <c r="BK30" s="184"/>
      <c r="BL30" s="184"/>
      <c r="BM30" s="184"/>
      <c r="BN30" s="184"/>
      <c r="BO30" s="193"/>
      <c r="BP30" s="193"/>
      <c r="BQ30" s="193"/>
      <c r="BR30" s="193"/>
      <c r="BS30" s="193"/>
      <c r="BT30" s="193"/>
      <c r="BU30" s="193"/>
      <c r="BV30" s="193"/>
      <c r="BW30" s="184"/>
      <c r="BX30" s="184"/>
      <c r="BY30" s="184"/>
      <c r="BZ30" s="184"/>
      <c r="CA30" s="184"/>
      <c r="CB30" s="184"/>
      <c r="CC30" s="184"/>
      <c r="CD30" s="184"/>
      <c r="CE30" s="184"/>
      <c r="CF30" s="184"/>
      <c r="CG30" s="184"/>
      <c r="CH30" s="184"/>
      <c r="CI30" s="184"/>
      <c r="CJ30" s="184"/>
      <c r="CK30" s="184"/>
      <c r="CL30" s="184"/>
      <c r="CM30" s="184"/>
      <c r="CN30" s="184"/>
      <c r="CO30" s="184"/>
      <c r="CP30" s="184"/>
      <c r="CQ30" s="184"/>
      <c r="CR30" s="184"/>
      <c r="CS30" s="184"/>
      <c r="CT30" s="184"/>
      <c r="CU30" s="184"/>
      <c r="CV30" s="184"/>
      <c r="CW30" s="184"/>
      <c r="CX30" s="184"/>
      <c r="CY30" s="184"/>
      <c r="CZ30" s="184"/>
      <c r="DA30" s="184"/>
      <c r="DB30" s="184"/>
      <c r="DC30" s="184"/>
      <c r="DD30" s="184"/>
      <c r="DE30" s="184"/>
      <c r="DF30" s="184"/>
      <c r="DG30" s="184"/>
      <c r="DH30" s="184"/>
      <c r="DI30" s="184"/>
      <c r="DJ30" s="184"/>
      <c r="DK30" s="184"/>
      <c r="DL30" s="184"/>
      <c r="DM30" s="184"/>
      <c r="DN30" s="184"/>
      <c r="DO30" s="184"/>
      <c r="DP30" s="184"/>
      <c r="DQ30" s="184"/>
      <c r="DR30" s="184"/>
      <c r="DS30" s="184"/>
      <c r="DT30" s="184"/>
      <c r="DU30" s="184"/>
      <c r="DV30" s="184"/>
      <c r="DW30" s="184"/>
      <c r="DX30" s="184"/>
      <c r="DY30" s="184"/>
      <c r="DZ30" s="184"/>
    </row>
    <row r="31" spans="1:130" ht="6.6" customHeight="1" x14ac:dyDescent="0.2">
      <c r="A31" s="184"/>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94"/>
      <c r="AT31" s="184"/>
      <c r="AU31" s="184"/>
      <c r="AV31" s="184"/>
      <c r="AW31" s="184"/>
      <c r="AX31" s="184"/>
      <c r="AY31" s="184"/>
      <c r="AZ31" s="184"/>
      <c r="BA31" s="184"/>
      <c r="BB31" s="184"/>
      <c r="BC31" s="184"/>
      <c r="BD31" s="187"/>
      <c r="BE31" s="184"/>
      <c r="BF31" s="184"/>
      <c r="BG31" s="184"/>
      <c r="BH31" s="184"/>
      <c r="BI31" s="184"/>
      <c r="BJ31" s="184"/>
      <c r="BK31" s="184"/>
      <c r="BL31" s="184"/>
      <c r="BM31" s="184"/>
      <c r="BN31" s="184"/>
      <c r="BO31" s="193"/>
      <c r="BP31" s="193"/>
      <c r="BQ31" s="193"/>
      <c r="BR31" s="193"/>
      <c r="BS31" s="193"/>
      <c r="BT31" s="193"/>
      <c r="BU31" s="193"/>
      <c r="BV31" s="193"/>
      <c r="BW31" s="184"/>
      <c r="BX31" s="184"/>
      <c r="BY31" s="184"/>
      <c r="BZ31" s="184"/>
      <c r="CA31" s="184"/>
      <c r="CB31" s="184"/>
      <c r="CC31" s="184"/>
      <c r="CD31" s="184"/>
      <c r="CE31" s="184"/>
      <c r="CF31" s="184"/>
      <c r="CG31" s="184"/>
      <c r="CH31" s="184"/>
      <c r="CI31" s="184"/>
      <c r="CJ31" s="184"/>
      <c r="CK31" s="184"/>
      <c r="CL31" s="184"/>
      <c r="CM31" s="184"/>
      <c r="CN31" s="184"/>
      <c r="CO31" s="184"/>
      <c r="CP31" s="184"/>
      <c r="CQ31" s="184"/>
      <c r="CR31" s="184"/>
      <c r="CS31" s="184"/>
      <c r="CT31" s="184"/>
      <c r="CU31" s="184"/>
      <c r="CV31" s="184"/>
      <c r="CW31" s="184"/>
      <c r="CX31" s="184"/>
      <c r="CY31" s="184"/>
      <c r="CZ31" s="184"/>
      <c r="DA31" s="184"/>
      <c r="DB31" s="184"/>
      <c r="DC31" s="184"/>
      <c r="DD31" s="184"/>
      <c r="DE31" s="184"/>
      <c r="DF31" s="184"/>
      <c r="DG31" s="184"/>
      <c r="DH31" s="184"/>
      <c r="DI31" s="184"/>
      <c r="DJ31" s="184"/>
      <c r="DK31" s="184"/>
      <c r="DL31" s="184"/>
      <c r="DM31" s="184"/>
      <c r="DN31" s="184"/>
      <c r="DO31" s="184"/>
      <c r="DP31" s="184"/>
      <c r="DQ31" s="184"/>
      <c r="DR31" s="184"/>
      <c r="DS31" s="184"/>
      <c r="DT31" s="184"/>
      <c r="DU31" s="184"/>
      <c r="DV31" s="184"/>
      <c r="DW31" s="184"/>
      <c r="DX31" s="184"/>
      <c r="DY31" s="184"/>
      <c r="DZ31" s="184"/>
    </row>
    <row r="32" spans="1:130" ht="14.1" customHeight="1" x14ac:dyDescent="0.2">
      <c r="A32" s="184"/>
      <c r="B32" s="184" t="s">
        <v>1011</v>
      </c>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631" t="str">
        <f>IF(AG28=0,"",AG28+AG30)</f>
        <v/>
      </c>
      <c r="AH32" s="632"/>
      <c r="AI32" s="632"/>
      <c r="AJ32" s="632"/>
      <c r="AK32" s="632"/>
      <c r="AL32" s="632"/>
      <c r="AM32" s="632"/>
      <c r="AN32" s="632"/>
      <c r="AO32" s="632"/>
      <c r="AP32" s="632"/>
      <c r="AQ32" s="633"/>
      <c r="AR32" s="184"/>
      <c r="AS32" s="194" t="s">
        <v>855</v>
      </c>
      <c r="AT32" s="184"/>
      <c r="AU32" s="184"/>
      <c r="AV32" s="184"/>
      <c r="AW32" s="184"/>
      <c r="AX32" s="184"/>
      <c r="AY32" s="184"/>
      <c r="AZ32" s="184"/>
      <c r="BA32" s="184"/>
      <c r="BB32" s="184"/>
      <c r="BC32" s="184"/>
      <c r="BD32" s="187" t="str">
        <f>IF(Daten!D56=0,"(Pflichtfeld)","")</f>
        <v>(Pflichtfeld)</v>
      </c>
      <c r="BE32" s="184"/>
      <c r="BF32" s="184"/>
      <c r="BG32" s="184"/>
      <c r="BH32" s="184"/>
      <c r="BI32" s="184"/>
      <c r="BJ32" s="184"/>
      <c r="BK32" s="184"/>
      <c r="BL32" s="184"/>
      <c r="BM32" s="184"/>
      <c r="BN32" s="184"/>
      <c r="BO32" s="193"/>
      <c r="BP32" s="193"/>
      <c r="BQ32" s="193"/>
      <c r="BR32" s="193"/>
      <c r="BS32" s="193"/>
      <c r="BT32" s="193"/>
      <c r="BU32" s="193"/>
      <c r="BV32" s="193"/>
      <c r="BW32" s="184"/>
      <c r="BX32" s="184"/>
      <c r="BY32" s="184"/>
      <c r="BZ32" s="184"/>
      <c r="CA32" s="184"/>
      <c r="CB32" s="184"/>
      <c r="CC32" s="184"/>
      <c r="CD32" s="184"/>
      <c r="CE32" s="184"/>
      <c r="CF32" s="184"/>
      <c r="CG32" s="184"/>
      <c r="CH32" s="184"/>
      <c r="CI32" s="184"/>
      <c r="CJ32" s="184"/>
      <c r="CK32" s="184"/>
      <c r="CL32" s="184"/>
      <c r="CM32" s="184"/>
      <c r="CN32" s="184"/>
      <c r="CO32" s="184"/>
      <c r="CP32" s="184"/>
      <c r="CQ32" s="184"/>
      <c r="CR32" s="184"/>
      <c r="CS32" s="184"/>
      <c r="CT32" s="184"/>
      <c r="CU32" s="184"/>
      <c r="CV32" s="184"/>
      <c r="CW32" s="184"/>
      <c r="CX32" s="184"/>
      <c r="CY32" s="184"/>
      <c r="CZ32" s="184"/>
      <c r="DA32" s="184"/>
      <c r="DB32" s="184"/>
      <c r="DC32" s="184"/>
      <c r="DD32" s="184"/>
      <c r="DE32" s="184"/>
      <c r="DF32" s="184"/>
      <c r="DG32" s="184"/>
      <c r="DH32" s="184"/>
      <c r="DI32" s="184"/>
      <c r="DJ32" s="184"/>
      <c r="DK32" s="184"/>
      <c r="DL32" s="184"/>
      <c r="DM32" s="184"/>
      <c r="DN32" s="184"/>
      <c r="DO32" s="184"/>
      <c r="DP32" s="184"/>
      <c r="DQ32" s="184"/>
      <c r="DR32" s="184"/>
      <c r="DS32" s="184"/>
      <c r="DT32" s="184"/>
      <c r="DU32" s="184"/>
      <c r="DV32" s="184"/>
      <c r="DW32" s="184"/>
      <c r="DX32" s="184"/>
      <c r="DY32" s="184"/>
      <c r="DZ32" s="184"/>
    </row>
    <row r="33" spans="1:130" ht="6.6" customHeight="1" x14ac:dyDescent="0.2">
      <c r="A33" s="184"/>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93"/>
      <c r="BA33" s="184"/>
      <c r="BB33" s="184"/>
      <c r="BC33" s="184"/>
      <c r="BD33" s="184"/>
      <c r="BE33" s="184"/>
      <c r="BF33" s="184"/>
      <c r="BG33" s="184"/>
      <c r="BH33" s="184"/>
      <c r="BI33" s="184"/>
      <c r="BJ33" s="184"/>
      <c r="BK33" s="184"/>
      <c r="BL33" s="184"/>
      <c r="BM33" s="184"/>
      <c r="BN33" s="184"/>
      <c r="BO33" s="193"/>
      <c r="BP33" s="193"/>
      <c r="BQ33" s="193"/>
      <c r="BR33" s="193"/>
      <c r="BS33" s="193"/>
      <c r="BT33" s="193"/>
      <c r="BU33" s="193"/>
      <c r="BV33" s="193"/>
      <c r="BW33" s="184"/>
      <c r="BX33" s="184"/>
      <c r="BY33" s="184"/>
      <c r="BZ33" s="184"/>
      <c r="CA33" s="184"/>
      <c r="CB33" s="184"/>
      <c r="CC33" s="184"/>
      <c r="CD33" s="184"/>
      <c r="CE33" s="184"/>
      <c r="CF33" s="184"/>
      <c r="CG33" s="184"/>
      <c r="CH33" s="184"/>
      <c r="CI33" s="184"/>
      <c r="CJ33" s="184"/>
      <c r="CK33" s="184"/>
      <c r="CL33" s="184"/>
      <c r="CM33" s="184"/>
      <c r="CN33" s="184"/>
      <c r="CO33" s="184"/>
      <c r="CP33" s="184"/>
      <c r="CQ33" s="184"/>
      <c r="CR33" s="184"/>
      <c r="CS33" s="184"/>
      <c r="CT33" s="184"/>
      <c r="CU33" s="184"/>
      <c r="CV33" s="184"/>
      <c r="CW33" s="184"/>
      <c r="CX33" s="184"/>
      <c r="CY33" s="184"/>
      <c r="CZ33" s="184"/>
      <c r="DA33" s="184"/>
      <c r="DB33" s="184"/>
      <c r="DC33" s="184"/>
      <c r="DD33" s="184"/>
      <c r="DE33" s="184"/>
      <c r="DF33" s="184"/>
      <c r="DG33" s="184"/>
      <c r="DH33" s="184"/>
      <c r="DI33" s="184"/>
      <c r="DJ33" s="184"/>
      <c r="DK33" s="184"/>
      <c r="DL33" s="184"/>
      <c r="DM33" s="184"/>
      <c r="DN33" s="184"/>
      <c r="DO33" s="184"/>
      <c r="DP33" s="184"/>
      <c r="DQ33" s="184"/>
      <c r="DR33" s="184"/>
      <c r="DS33" s="184"/>
      <c r="DT33" s="184"/>
      <c r="DU33" s="184"/>
      <c r="DV33" s="184"/>
      <c r="DW33" s="184"/>
      <c r="DX33" s="184"/>
      <c r="DY33" s="184"/>
      <c r="DZ33" s="184"/>
    </row>
    <row r="34" spans="1:130" ht="14.1" customHeight="1" x14ac:dyDescent="0.2">
      <c r="A34" s="184"/>
      <c r="B34" s="190" t="s">
        <v>412</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93"/>
      <c r="BA34" s="184"/>
      <c r="BB34" s="184"/>
      <c r="BC34" s="184"/>
      <c r="BD34" s="184"/>
      <c r="BE34" s="184"/>
      <c r="BF34" s="184"/>
      <c r="BG34" s="184"/>
      <c r="BH34" s="184"/>
      <c r="BI34" s="184"/>
      <c r="BJ34" s="184"/>
      <c r="BK34" s="184"/>
      <c r="BL34" s="184"/>
      <c r="BM34" s="184"/>
      <c r="BN34" s="184"/>
      <c r="BO34" s="193"/>
      <c r="BP34" s="193"/>
      <c r="BQ34" s="193"/>
      <c r="BR34" s="193"/>
      <c r="BS34" s="193"/>
      <c r="BT34" s="193"/>
      <c r="BU34" s="193"/>
      <c r="BV34" s="193"/>
      <c r="BW34" s="184"/>
      <c r="BX34" s="184"/>
      <c r="BY34" s="184"/>
      <c r="BZ34" s="184"/>
      <c r="CA34" s="184"/>
      <c r="CB34" s="184"/>
      <c r="CC34" s="184"/>
      <c r="CD34" s="184"/>
      <c r="CE34" s="184"/>
      <c r="CF34" s="184"/>
      <c r="CG34" s="184"/>
      <c r="CH34" s="184"/>
      <c r="CI34" s="184"/>
      <c r="CJ34" s="184"/>
      <c r="CK34" s="184"/>
      <c r="CL34" s="184"/>
      <c r="CM34" s="184"/>
      <c r="CN34" s="184"/>
      <c r="CO34" s="184"/>
      <c r="CP34" s="184"/>
      <c r="CQ34" s="184"/>
      <c r="CR34" s="184"/>
      <c r="CS34" s="184"/>
      <c r="CT34" s="184"/>
      <c r="CU34" s="184"/>
      <c r="CV34" s="184"/>
      <c r="CW34" s="184"/>
      <c r="CX34" s="184"/>
      <c r="CY34" s="184"/>
      <c r="CZ34" s="184"/>
      <c r="DA34" s="184"/>
      <c r="DB34" s="184"/>
      <c r="DC34" s="184"/>
      <c r="DD34" s="184"/>
      <c r="DE34" s="184"/>
      <c r="DF34" s="184"/>
      <c r="DG34" s="184"/>
      <c r="DH34" s="184"/>
      <c r="DI34" s="184"/>
      <c r="DJ34" s="184"/>
      <c r="DK34" s="184"/>
      <c r="DL34" s="184"/>
      <c r="DM34" s="184"/>
      <c r="DN34" s="184"/>
      <c r="DO34" s="184"/>
      <c r="DP34" s="184"/>
      <c r="DQ34" s="184"/>
      <c r="DR34" s="184"/>
      <c r="DS34" s="184"/>
      <c r="DT34" s="184"/>
      <c r="DU34" s="184"/>
      <c r="DV34" s="184"/>
      <c r="DW34" s="184"/>
      <c r="DX34" s="184"/>
      <c r="DY34" s="184"/>
      <c r="DZ34" s="184"/>
    </row>
    <row r="35" spans="1:130" ht="5.0999999999999996" customHeight="1" x14ac:dyDescent="0.2">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93"/>
      <c r="BA35" s="184"/>
      <c r="BB35" s="184"/>
      <c r="BC35" s="184"/>
      <c r="BD35" s="184"/>
      <c r="BE35" s="184"/>
      <c r="BF35" s="184"/>
      <c r="BG35" s="184"/>
      <c r="BH35" s="184"/>
      <c r="BI35" s="184"/>
      <c r="BJ35" s="184"/>
      <c r="BK35" s="184"/>
      <c r="BL35" s="184"/>
      <c r="BM35" s="184"/>
      <c r="BN35" s="184"/>
      <c r="BO35" s="193"/>
      <c r="BP35" s="193"/>
      <c r="BQ35" s="193"/>
      <c r="BR35" s="193"/>
      <c r="BS35" s="193"/>
      <c r="BT35" s="193"/>
      <c r="BU35" s="193"/>
      <c r="BV35" s="193"/>
      <c r="BW35" s="184"/>
      <c r="BX35" s="184"/>
      <c r="BY35" s="184"/>
      <c r="BZ35" s="184"/>
      <c r="CA35" s="184"/>
      <c r="CB35" s="184"/>
      <c r="CC35" s="184"/>
      <c r="CD35" s="184"/>
      <c r="CE35" s="184"/>
      <c r="CF35" s="184"/>
      <c r="CG35" s="184"/>
      <c r="CH35" s="184"/>
      <c r="CI35" s="184"/>
      <c r="CJ35" s="184"/>
      <c r="CK35" s="184"/>
      <c r="CL35" s="184"/>
      <c r="CM35" s="184"/>
      <c r="CN35" s="184"/>
      <c r="CO35" s="184"/>
      <c r="CP35" s="184"/>
      <c r="CQ35" s="184"/>
      <c r="CR35" s="184"/>
      <c r="CS35" s="184"/>
      <c r="CT35" s="184"/>
      <c r="CU35" s="184"/>
      <c r="CV35" s="184"/>
      <c r="CW35" s="184"/>
      <c r="CX35" s="184"/>
      <c r="CY35" s="184"/>
      <c r="CZ35" s="184"/>
      <c r="DA35" s="184"/>
      <c r="DB35" s="184"/>
      <c r="DC35" s="184"/>
      <c r="DD35" s="184"/>
      <c r="DE35" s="184"/>
      <c r="DF35" s="184"/>
      <c r="DG35" s="184"/>
      <c r="DH35" s="184"/>
      <c r="DI35" s="184"/>
      <c r="DJ35" s="184"/>
      <c r="DK35" s="184"/>
      <c r="DL35" s="184"/>
      <c r="DM35" s="184"/>
      <c r="DN35" s="184"/>
      <c r="DO35" s="184"/>
      <c r="DP35" s="184"/>
      <c r="DQ35" s="184"/>
      <c r="DR35" s="184"/>
      <c r="DS35" s="184"/>
      <c r="DT35" s="184"/>
      <c r="DU35" s="184"/>
      <c r="DV35" s="184"/>
      <c r="DW35" s="184"/>
      <c r="DX35" s="184"/>
      <c r="DY35" s="184"/>
      <c r="DZ35" s="184"/>
    </row>
    <row r="36" spans="1:130" ht="14.1" customHeight="1" x14ac:dyDescent="0.2">
      <c r="A36" s="184"/>
      <c r="B36" s="184" t="s">
        <v>854</v>
      </c>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637"/>
      <c r="AH36" s="638"/>
      <c r="AI36" s="638"/>
      <c r="AJ36" s="638"/>
      <c r="AK36" s="638"/>
      <c r="AL36" s="638"/>
      <c r="AM36" s="638"/>
      <c r="AN36" s="638"/>
      <c r="AO36" s="638"/>
      <c r="AP36" s="638"/>
      <c r="AQ36" s="639"/>
      <c r="AR36" s="184"/>
      <c r="AS36" s="184" t="s">
        <v>401</v>
      </c>
      <c r="AT36" s="184"/>
      <c r="AU36" s="184"/>
      <c r="AV36" s="184"/>
      <c r="AW36" s="184"/>
      <c r="AX36" s="184"/>
      <c r="AY36" s="184"/>
      <c r="AZ36" s="184"/>
      <c r="BA36" s="184"/>
      <c r="BB36" s="184"/>
      <c r="BC36" s="184"/>
      <c r="BD36" s="187" t="str">
        <f>IF(Daten!D58=0,"(Pflichtfeld)","")</f>
        <v>(Pflichtfeld)</v>
      </c>
      <c r="BE36" s="184"/>
      <c r="BF36" s="184"/>
      <c r="BG36" s="184"/>
      <c r="BH36" s="184"/>
      <c r="BI36" s="184"/>
      <c r="BJ36" s="184"/>
      <c r="BK36" s="184"/>
      <c r="BL36" s="184"/>
      <c r="BM36" s="184"/>
      <c r="BN36" s="184"/>
      <c r="BO36" s="193"/>
      <c r="BP36" s="193"/>
      <c r="BQ36" s="193"/>
      <c r="BR36" s="193"/>
      <c r="BS36" s="193"/>
      <c r="BT36" s="193"/>
      <c r="BU36" s="193"/>
      <c r="BV36" s="193"/>
      <c r="BW36" s="184"/>
      <c r="BX36" s="184"/>
      <c r="BY36" s="184"/>
      <c r="BZ36" s="184"/>
      <c r="CA36" s="184"/>
      <c r="CB36" s="184"/>
      <c r="CC36" s="184"/>
      <c r="CD36" s="184"/>
      <c r="CE36" s="184"/>
      <c r="CF36" s="184"/>
      <c r="CG36" s="184"/>
      <c r="CH36" s="184"/>
      <c r="CI36" s="184"/>
      <c r="CJ36" s="184"/>
      <c r="CK36" s="184"/>
      <c r="CL36" s="184"/>
      <c r="CM36" s="184"/>
      <c r="CN36" s="184"/>
      <c r="CO36" s="184"/>
      <c r="CP36" s="184"/>
      <c r="CQ36" s="184"/>
      <c r="CR36" s="184"/>
      <c r="CS36" s="184"/>
      <c r="CT36" s="184"/>
      <c r="CU36" s="184"/>
      <c r="CV36" s="184"/>
      <c r="CW36" s="184"/>
      <c r="CX36" s="184"/>
      <c r="CY36" s="184"/>
      <c r="CZ36" s="184"/>
      <c r="DA36" s="184"/>
      <c r="DB36" s="184"/>
      <c r="DC36" s="184"/>
      <c r="DD36" s="184"/>
      <c r="DE36" s="184"/>
      <c r="DF36" s="184"/>
      <c r="DG36" s="184"/>
      <c r="DH36" s="184"/>
      <c r="DI36" s="184"/>
      <c r="DJ36" s="184"/>
      <c r="DK36" s="184"/>
      <c r="DL36" s="184"/>
      <c r="DM36" s="184"/>
      <c r="DN36" s="184"/>
      <c r="DO36" s="184"/>
      <c r="DP36" s="184"/>
      <c r="DQ36" s="184"/>
      <c r="DR36" s="184"/>
      <c r="DS36" s="184"/>
      <c r="DT36" s="184"/>
      <c r="DU36" s="184"/>
      <c r="DV36" s="184"/>
      <c r="DW36" s="184"/>
      <c r="DX36" s="184"/>
      <c r="DY36" s="184"/>
      <c r="DZ36" s="184"/>
    </row>
    <row r="37" spans="1:130" ht="6.6" customHeight="1" x14ac:dyDescent="0.2">
      <c r="A37" s="184"/>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93"/>
      <c r="BA37" s="184"/>
      <c r="BB37" s="184"/>
      <c r="BC37" s="184"/>
      <c r="BD37" s="184"/>
      <c r="BE37" s="184"/>
      <c r="BF37" s="184"/>
      <c r="BG37" s="184"/>
      <c r="BH37" s="184"/>
      <c r="BI37" s="184"/>
      <c r="BJ37" s="184"/>
      <c r="BK37" s="184"/>
      <c r="BL37" s="184"/>
      <c r="BM37" s="184"/>
      <c r="BN37" s="184"/>
      <c r="BO37" s="193"/>
      <c r="BP37" s="193"/>
      <c r="BQ37" s="193"/>
      <c r="BR37" s="193"/>
      <c r="BS37" s="193"/>
      <c r="BT37" s="193"/>
      <c r="BU37" s="193"/>
      <c r="BV37" s="193"/>
      <c r="BW37" s="184"/>
      <c r="BX37" s="184"/>
      <c r="BY37" s="184"/>
      <c r="BZ37" s="184"/>
      <c r="CA37" s="184"/>
      <c r="CB37" s="184"/>
      <c r="CC37" s="184"/>
      <c r="CD37" s="184"/>
      <c r="CE37" s="184"/>
      <c r="CF37" s="184"/>
      <c r="CG37" s="184"/>
      <c r="CH37" s="184"/>
      <c r="CI37" s="184"/>
      <c r="CJ37" s="184"/>
      <c r="CK37" s="184"/>
      <c r="CL37" s="184"/>
      <c r="CM37" s="184"/>
      <c r="CN37" s="184"/>
      <c r="CO37" s="184"/>
      <c r="CP37" s="184"/>
      <c r="CQ37" s="184"/>
      <c r="CR37" s="184"/>
      <c r="CS37" s="184"/>
      <c r="CT37" s="184"/>
      <c r="CU37" s="184"/>
      <c r="CV37" s="184"/>
      <c r="CW37" s="184"/>
      <c r="CX37" s="184"/>
      <c r="CY37" s="184"/>
      <c r="CZ37" s="184"/>
      <c r="DA37" s="184"/>
      <c r="DB37" s="184"/>
      <c r="DC37" s="184"/>
      <c r="DD37" s="184"/>
      <c r="DE37" s="184"/>
      <c r="DF37" s="184"/>
      <c r="DG37" s="184"/>
      <c r="DH37" s="184"/>
      <c r="DI37" s="184"/>
      <c r="DJ37" s="184"/>
      <c r="DK37" s="184"/>
      <c r="DL37" s="184"/>
      <c r="DM37" s="184"/>
      <c r="DN37" s="184"/>
      <c r="DO37" s="184"/>
      <c r="DP37" s="184"/>
      <c r="DQ37" s="184"/>
      <c r="DR37" s="184"/>
      <c r="DS37" s="184"/>
      <c r="DT37" s="184"/>
      <c r="DU37" s="184"/>
      <c r="DV37" s="184"/>
      <c r="DW37" s="184"/>
      <c r="DX37" s="184"/>
      <c r="DY37" s="184"/>
      <c r="DZ37" s="184"/>
    </row>
    <row r="38" spans="1:130" ht="14.1" customHeight="1" x14ac:dyDescent="0.2">
      <c r="A38" s="184"/>
      <c r="B38" s="184" t="s">
        <v>379</v>
      </c>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637"/>
      <c r="AH38" s="638"/>
      <c r="AI38" s="638"/>
      <c r="AJ38" s="638"/>
      <c r="AK38" s="638"/>
      <c r="AL38" s="638"/>
      <c r="AM38" s="638"/>
      <c r="AN38" s="638"/>
      <c r="AO38" s="638"/>
      <c r="AP38" s="638"/>
      <c r="AQ38" s="639"/>
      <c r="AR38" s="184"/>
      <c r="AS38" s="184" t="s">
        <v>401</v>
      </c>
      <c r="AT38" s="184"/>
      <c r="AU38" s="184"/>
      <c r="AV38" s="184"/>
      <c r="AW38" s="184"/>
      <c r="AX38" s="184"/>
      <c r="AY38" s="184"/>
      <c r="AZ38" s="184"/>
      <c r="BA38" s="184"/>
      <c r="BB38" s="184"/>
      <c r="BC38" s="184"/>
      <c r="BD38" s="187" t="str">
        <f>IF(Daten!D57=0,"(Pflichtfeld)","")</f>
        <v>(Pflichtfeld)</v>
      </c>
      <c r="BE38" s="184"/>
      <c r="BF38" s="184"/>
      <c r="BG38" s="184"/>
      <c r="BH38" s="184"/>
      <c r="BI38" s="184"/>
      <c r="BJ38" s="184"/>
      <c r="BK38" s="184"/>
      <c r="BL38" s="184"/>
      <c r="BM38" s="184"/>
      <c r="BN38" s="184"/>
      <c r="BO38" s="193"/>
      <c r="BP38" s="193"/>
      <c r="BQ38" s="193"/>
      <c r="BR38" s="193"/>
      <c r="BS38" s="193"/>
      <c r="BT38" s="193"/>
      <c r="BU38" s="193"/>
      <c r="BV38" s="193"/>
      <c r="BW38" s="184"/>
      <c r="BX38" s="184"/>
      <c r="BY38" s="184"/>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c r="CX38" s="184"/>
      <c r="CY38" s="184"/>
      <c r="CZ38" s="184"/>
      <c r="DA38" s="184"/>
      <c r="DB38" s="184"/>
      <c r="DC38" s="184"/>
      <c r="DD38" s="184"/>
      <c r="DE38" s="184"/>
      <c r="DF38" s="184"/>
      <c r="DG38" s="184"/>
      <c r="DH38" s="184"/>
      <c r="DI38" s="184"/>
      <c r="DJ38" s="184"/>
      <c r="DK38" s="184"/>
      <c r="DL38" s="184"/>
      <c r="DM38" s="184"/>
      <c r="DN38" s="184"/>
      <c r="DO38" s="184"/>
      <c r="DP38" s="184"/>
      <c r="DQ38" s="184"/>
      <c r="DR38" s="184"/>
      <c r="DS38" s="184"/>
      <c r="DT38" s="184"/>
      <c r="DU38" s="184"/>
      <c r="DV38" s="184"/>
      <c r="DW38" s="184"/>
      <c r="DX38" s="184"/>
      <c r="DY38" s="184"/>
      <c r="DZ38" s="184"/>
    </row>
    <row r="39" spans="1:130" ht="6.6" customHeight="1" x14ac:dyDescent="0.2">
      <c r="A39" s="184"/>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93"/>
      <c r="BA39" s="184"/>
      <c r="BB39" s="184"/>
      <c r="BC39" s="184"/>
      <c r="BD39" s="184"/>
      <c r="BE39" s="184"/>
      <c r="BF39" s="184"/>
      <c r="BG39" s="184"/>
      <c r="BH39" s="184"/>
      <c r="BI39" s="184"/>
      <c r="BJ39" s="184"/>
      <c r="BK39" s="184"/>
      <c r="BL39" s="184"/>
      <c r="BM39" s="184"/>
      <c r="BN39" s="184"/>
      <c r="BO39" s="193"/>
      <c r="BP39" s="193"/>
      <c r="BQ39" s="193"/>
      <c r="BR39" s="193"/>
      <c r="BS39" s="193"/>
      <c r="BT39" s="193"/>
      <c r="BU39" s="193"/>
      <c r="BV39" s="193"/>
      <c r="BW39" s="184"/>
      <c r="BX39" s="184"/>
      <c r="BY39" s="184"/>
      <c r="BZ39" s="184"/>
      <c r="CA39" s="184"/>
      <c r="CB39" s="184"/>
      <c r="CC39" s="184"/>
      <c r="CD39" s="184"/>
      <c r="CE39" s="184"/>
      <c r="CF39" s="184"/>
      <c r="CG39" s="184"/>
      <c r="CH39" s="184"/>
      <c r="CI39" s="184"/>
      <c r="CJ39" s="184"/>
      <c r="CK39" s="184"/>
      <c r="CL39" s="184"/>
      <c r="CM39" s="184"/>
      <c r="CN39" s="184"/>
      <c r="CO39" s="184"/>
      <c r="CP39" s="184"/>
      <c r="CQ39" s="184"/>
      <c r="CR39" s="184"/>
      <c r="CS39" s="184"/>
      <c r="CT39" s="184"/>
      <c r="CU39" s="184"/>
      <c r="CV39" s="184"/>
      <c r="CW39" s="184"/>
      <c r="CX39" s="184"/>
      <c r="CY39" s="184"/>
      <c r="CZ39" s="184"/>
      <c r="DA39" s="184"/>
      <c r="DB39" s="184"/>
      <c r="DC39" s="184"/>
      <c r="DD39" s="184"/>
      <c r="DE39" s="184"/>
      <c r="DF39" s="184"/>
      <c r="DG39" s="184"/>
      <c r="DH39" s="184"/>
      <c r="DI39" s="184"/>
      <c r="DJ39" s="184"/>
      <c r="DK39" s="184"/>
      <c r="DL39" s="184"/>
      <c r="DM39" s="184"/>
      <c r="DN39" s="184"/>
      <c r="DO39" s="184"/>
      <c r="DP39" s="184"/>
      <c r="DQ39" s="184"/>
      <c r="DR39" s="184"/>
      <c r="DS39" s="184"/>
      <c r="DT39" s="184"/>
      <c r="DU39" s="184"/>
      <c r="DV39" s="184"/>
      <c r="DW39" s="184"/>
      <c r="DX39" s="184"/>
      <c r="DY39" s="184"/>
      <c r="DZ39" s="184"/>
    </row>
    <row r="40" spans="1:130" ht="14.1" customHeight="1" x14ac:dyDescent="0.25">
      <c r="A40" s="184"/>
      <c r="B40" s="184" t="s">
        <v>971</v>
      </c>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637"/>
      <c r="AH40" s="638"/>
      <c r="AI40" s="638"/>
      <c r="AJ40" s="638"/>
      <c r="AK40" s="638"/>
      <c r="AL40" s="638"/>
      <c r="AM40" s="638"/>
      <c r="AN40" s="638"/>
      <c r="AO40" s="638"/>
      <c r="AP40" s="638"/>
      <c r="AQ40" s="639"/>
      <c r="AR40" s="184"/>
      <c r="AS40" s="184" t="s">
        <v>853</v>
      </c>
      <c r="AT40" s="184"/>
      <c r="AU40" s="184"/>
      <c r="AV40" s="184"/>
      <c r="AW40" s="184"/>
      <c r="AX40" s="184"/>
      <c r="AY40" s="184"/>
      <c r="AZ40" s="184"/>
      <c r="BA40" s="184"/>
      <c r="BB40" s="184"/>
      <c r="BC40" s="184"/>
      <c r="BD40" s="187" t="str">
        <f>IF(Daten!D62=0,"(Pflichtfeld)","")</f>
        <v>(Pflichtfeld)</v>
      </c>
      <c r="BE40" s="192" t="str">
        <f>IF(Daten!K79&gt;0,"→","")</f>
        <v/>
      </c>
      <c r="BF40" s="184"/>
      <c r="BG40" s="184"/>
      <c r="BH40" s="184"/>
      <c r="BI40" s="184"/>
      <c r="BJ40" s="184"/>
      <c r="BK40" s="184"/>
      <c r="BL40" s="184"/>
      <c r="BM40" s="184"/>
      <c r="BN40" s="184"/>
      <c r="BO40" s="627" t="str">
        <f>IF(Daten!K79&gt;0,Daten!H85,"")</f>
        <v/>
      </c>
      <c r="BP40" s="627"/>
      <c r="BQ40" s="627"/>
      <c r="BR40" s="627"/>
      <c r="BS40" s="627"/>
      <c r="BT40" s="627"/>
      <c r="BU40" s="627"/>
      <c r="BV40" s="627"/>
      <c r="BW40" s="622" t="str">
        <f>IF(Daten!K79&gt;0,"€","")</f>
        <v/>
      </c>
      <c r="BX40" s="622"/>
      <c r="BY40" s="622"/>
      <c r="BZ40" s="184"/>
      <c r="CA40" s="184"/>
      <c r="CB40" s="184"/>
      <c r="CC40" s="184"/>
      <c r="CD40" s="184"/>
      <c r="CE40" s="184"/>
      <c r="CF40" s="184"/>
      <c r="CG40" s="184"/>
      <c r="CH40" s="184"/>
      <c r="CI40" s="184"/>
      <c r="CJ40" s="184"/>
      <c r="CK40" s="184"/>
      <c r="CL40" s="184"/>
      <c r="CM40" s="184"/>
      <c r="CN40" s="184"/>
      <c r="CO40" s="184"/>
      <c r="CP40" s="184"/>
      <c r="CQ40" s="184"/>
      <c r="CR40" s="184"/>
      <c r="CS40" s="184"/>
      <c r="CT40" s="184"/>
      <c r="CU40" s="184"/>
      <c r="CV40" s="184"/>
      <c r="CW40" s="184"/>
      <c r="CX40" s="184"/>
      <c r="CY40" s="184"/>
      <c r="CZ40" s="184"/>
      <c r="DA40" s="184"/>
      <c r="DB40" s="184"/>
      <c r="DC40" s="184"/>
      <c r="DD40" s="184"/>
      <c r="DE40" s="184"/>
      <c r="DF40" s="184"/>
      <c r="DG40" s="184"/>
      <c r="DH40" s="184"/>
      <c r="DI40" s="184"/>
      <c r="DJ40" s="184"/>
      <c r="DK40" s="184"/>
      <c r="DL40" s="184"/>
      <c r="DM40" s="184"/>
      <c r="DN40" s="184"/>
      <c r="DO40" s="184"/>
      <c r="DP40" s="184"/>
      <c r="DQ40" s="184"/>
      <c r="DR40" s="184"/>
      <c r="DS40" s="184"/>
      <c r="DT40" s="184"/>
      <c r="DU40" s="184"/>
      <c r="DV40" s="184"/>
      <c r="DW40" s="184"/>
      <c r="DX40" s="184"/>
      <c r="DY40" s="184"/>
      <c r="DZ40" s="184"/>
    </row>
    <row r="41" spans="1:130" ht="6.6" customHeight="1" x14ac:dyDescent="0.2">
      <c r="A41" s="184"/>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93"/>
      <c r="BA41" s="184"/>
      <c r="BB41" s="184"/>
      <c r="BC41" s="184"/>
      <c r="BD41" s="184"/>
      <c r="BE41" s="184"/>
      <c r="BF41" s="184"/>
      <c r="BG41" s="184"/>
      <c r="BH41" s="184"/>
      <c r="BI41" s="184"/>
      <c r="BJ41" s="184"/>
      <c r="BK41" s="184"/>
      <c r="BL41" s="184"/>
      <c r="BM41" s="184"/>
      <c r="BN41" s="184"/>
      <c r="BO41" s="193"/>
      <c r="BP41" s="193"/>
      <c r="BQ41" s="193"/>
      <c r="BR41" s="193"/>
      <c r="BS41" s="193"/>
      <c r="BT41" s="193"/>
      <c r="BU41" s="193"/>
      <c r="BV41" s="193"/>
      <c r="BW41" s="184"/>
      <c r="BX41" s="184"/>
      <c r="BY41" s="184"/>
      <c r="BZ41" s="184"/>
      <c r="CA41" s="184"/>
      <c r="CB41" s="184"/>
      <c r="CC41" s="184"/>
      <c r="CD41" s="184"/>
      <c r="CE41" s="184"/>
      <c r="CF41" s="184"/>
      <c r="CG41" s="184"/>
      <c r="CH41" s="184"/>
      <c r="CI41" s="184"/>
      <c r="CJ41" s="184"/>
      <c r="CK41" s="184"/>
      <c r="CL41" s="184"/>
      <c r="CM41" s="184"/>
      <c r="CN41" s="184"/>
      <c r="CO41" s="184"/>
      <c r="CP41" s="184"/>
      <c r="CQ41" s="184"/>
      <c r="CR41" s="184"/>
      <c r="CS41" s="184"/>
      <c r="CT41" s="184"/>
      <c r="CU41" s="184"/>
      <c r="CV41" s="184"/>
      <c r="CW41" s="184"/>
      <c r="CX41" s="184"/>
      <c r="CY41" s="184"/>
      <c r="CZ41" s="184"/>
      <c r="DA41" s="184"/>
      <c r="DB41" s="184"/>
      <c r="DC41" s="184"/>
      <c r="DD41" s="184"/>
      <c r="DE41" s="184"/>
      <c r="DF41" s="184"/>
      <c r="DG41" s="184"/>
      <c r="DH41" s="184"/>
      <c r="DI41" s="184"/>
      <c r="DJ41" s="184"/>
      <c r="DK41" s="184"/>
      <c r="DL41" s="184"/>
      <c r="DM41" s="184"/>
      <c r="DN41" s="184"/>
      <c r="DO41" s="184"/>
      <c r="DP41" s="184"/>
      <c r="DQ41" s="184"/>
      <c r="DR41" s="184"/>
      <c r="DS41" s="184"/>
      <c r="DT41" s="184"/>
      <c r="DU41" s="184"/>
      <c r="DV41" s="184"/>
      <c r="DW41" s="184"/>
      <c r="DX41" s="184"/>
      <c r="DY41" s="184"/>
      <c r="DZ41" s="184"/>
    </row>
    <row r="42" spans="1:130" ht="14.1" customHeight="1" x14ac:dyDescent="0.2">
      <c r="A42" s="184"/>
      <c r="B42" s="184" t="s">
        <v>1171</v>
      </c>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631"/>
      <c r="AH42" s="632"/>
      <c r="AI42" s="632"/>
      <c r="AJ42" s="632"/>
      <c r="AK42" s="632"/>
      <c r="AL42" s="632"/>
      <c r="AM42" s="632"/>
      <c r="AN42" s="632"/>
      <c r="AO42" s="632"/>
      <c r="AP42" s="632"/>
      <c r="AQ42" s="633"/>
      <c r="AR42" s="184"/>
      <c r="AS42" s="184"/>
      <c r="AT42" s="184"/>
      <c r="AU42" s="184"/>
      <c r="AV42" s="184"/>
      <c r="AW42" s="184"/>
      <c r="AX42" s="184"/>
      <c r="AY42" s="184"/>
      <c r="AZ42" s="523"/>
      <c r="BA42" s="184"/>
      <c r="BB42" s="184"/>
      <c r="BC42" s="184"/>
      <c r="BD42" s="184"/>
      <c r="BE42" s="184"/>
      <c r="BF42" s="184"/>
      <c r="BG42" s="184"/>
      <c r="BH42" s="184"/>
      <c r="BI42" s="184"/>
      <c r="BJ42" s="184"/>
      <c r="BK42" s="184"/>
      <c r="BL42" s="184"/>
      <c r="BM42" s="184"/>
      <c r="BN42" s="184"/>
      <c r="BO42" s="523"/>
      <c r="BP42" s="523"/>
      <c r="BQ42" s="523"/>
      <c r="BR42" s="523"/>
      <c r="BS42" s="523"/>
      <c r="BT42" s="523"/>
      <c r="BU42" s="523"/>
      <c r="BV42" s="523"/>
      <c r="BW42" s="184"/>
      <c r="BX42" s="184"/>
      <c r="BY42" s="184"/>
      <c r="BZ42" s="184"/>
      <c r="CA42" s="184"/>
      <c r="CB42" s="184"/>
      <c r="CC42" s="184"/>
      <c r="CD42" s="184"/>
      <c r="CE42" s="184"/>
      <c r="CF42" s="184"/>
      <c r="CG42" s="184"/>
      <c r="CH42" s="184"/>
      <c r="CI42" s="184"/>
      <c r="CJ42" s="184"/>
      <c r="CK42" s="184"/>
      <c r="CL42" s="184"/>
      <c r="CM42" s="184"/>
      <c r="CN42" s="184"/>
      <c r="CO42" s="184"/>
      <c r="CP42" s="184"/>
      <c r="CQ42" s="184"/>
      <c r="CR42" s="184"/>
      <c r="CS42" s="184"/>
      <c r="CT42" s="184"/>
      <c r="CU42" s="184"/>
      <c r="CV42" s="184"/>
      <c r="CW42" s="184"/>
      <c r="CX42" s="184"/>
      <c r="CY42" s="184"/>
      <c r="CZ42" s="184"/>
      <c r="DA42" s="184"/>
      <c r="DB42" s="184"/>
      <c r="DC42" s="184"/>
      <c r="DD42" s="184"/>
      <c r="DE42" s="184"/>
      <c r="DF42" s="184"/>
      <c r="DG42" s="184"/>
      <c r="DH42" s="184"/>
      <c r="DI42" s="184"/>
      <c r="DJ42" s="184"/>
      <c r="DK42" s="184"/>
      <c r="DL42" s="184"/>
      <c r="DM42" s="184"/>
      <c r="DN42" s="184"/>
      <c r="DO42" s="184"/>
      <c r="DP42" s="184"/>
      <c r="DQ42" s="184"/>
      <c r="DR42" s="184"/>
      <c r="DS42" s="184"/>
      <c r="DT42" s="184"/>
      <c r="DU42" s="184"/>
      <c r="DV42" s="184"/>
      <c r="DW42" s="184"/>
      <c r="DX42" s="184"/>
      <c r="DY42" s="184"/>
      <c r="DZ42" s="184"/>
    </row>
    <row r="43" spans="1:130" ht="6.6" customHeight="1" x14ac:dyDescent="0.2">
      <c r="A43" s="184"/>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c r="AV43" s="184"/>
      <c r="AW43" s="184"/>
      <c r="AX43" s="184"/>
      <c r="AY43" s="184"/>
      <c r="AZ43" s="523"/>
      <c r="BA43" s="184"/>
      <c r="BB43" s="184"/>
      <c r="BC43" s="184"/>
      <c r="BD43" s="184"/>
      <c r="BE43" s="184"/>
      <c r="BF43" s="184"/>
      <c r="BG43" s="184"/>
      <c r="BH43" s="184"/>
      <c r="BI43" s="184"/>
      <c r="BJ43" s="184"/>
      <c r="BK43" s="184"/>
      <c r="BL43" s="184"/>
      <c r="BM43" s="184"/>
      <c r="BN43" s="184"/>
      <c r="BO43" s="523"/>
      <c r="BP43" s="523"/>
      <c r="BQ43" s="523"/>
      <c r="BR43" s="523"/>
      <c r="BS43" s="523"/>
      <c r="BT43" s="523"/>
      <c r="BU43" s="523"/>
      <c r="BV43" s="523"/>
      <c r="BW43" s="184"/>
      <c r="BX43" s="184"/>
      <c r="BY43" s="184"/>
      <c r="BZ43" s="184"/>
      <c r="CA43" s="184"/>
      <c r="CB43" s="184"/>
      <c r="CC43" s="184"/>
      <c r="CD43" s="184"/>
      <c r="CE43" s="184"/>
      <c r="CF43" s="184"/>
      <c r="CG43" s="184"/>
      <c r="CH43" s="184"/>
      <c r="CI43" s="184"/>
      <c r="CJ43" s="184"/>
      <c r="CK43" s="184"/>
      <c r="CL43" s="184"/>
      <c r="CM43" s="184"/>
      <c r="CN43" s="184"/>
      <c r="CO43" s="184"/>
      <c r="CP43" s="184"/>
      <c r="CQ43" s="184"/>
      <c r="CR43" s="184"/>
      <c r="CS43" s="184"/>
      <c r="CT43" s="184"/>
      <c r="CU43" s="184"/>
      <c r="CV43" s="184"/>
      <c r="CW43" s="184"/>
      <c r="CX43" s="184"/>
      <c r="CY43" s="184"/>
      <c r="CZ43" s="184"/>
      <c r="DA43" s="184"/>
      <c r="DB43" s="184"/>
      <c r="DC43" s="184"/>
      <c r="DD43" s="184"/>
      <c r="DE43" s="184"/>
      <c r="DF43" s="184"/>
      <c r="DG43" s="184"/>
      <c r="DH43" s="184"/>
      <c r="DI43" s="184"/>
      <c r="DJ43" s="184"/>
      <c r="DK43" s="184"/>
      <c r="DL43" s="184"/>
      <c r="DM43" s="184"/>
      <c r="DN43" s="184"/>
      <c r="DO43" s="184"/>
      <c r="DP43" s="184"/>
      <c r="DQ43" s="184"/>
      <c r="DR43" s="184"/>
      <c r="DS43" s="184"/>
      <c r="DT43" s="184"/>
      <c r="DU43" s="184"/>
      <c r="DV43" s="184"/>
      <c r="DW43" s="184"/>
      <c r="DX43" s="184"/>
      <c r="DY43" s="184"/>
      <c r="DZ43" s="184"/>
    </row>
    <row r="44" spans="1:130" ht="14.1" customHeight="1" x14ac:dyDescent="0.2">
      <c r="A44" s="184"/>
      <c r="B44" s="184" t="s">
        <v>857</v>
      </c>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631"/>
      <c r="AH44" s="632"/>
      <c r="AI44" s="632"/>
      <c r="AJ44" s="632"/>
      <c r="AK44" s="632"/>
      <c r="AL44" s="632"/>
      <c r="AM44" s="632"/>
      <c r="AN44" s="632"/>
      <c r="AO44" s="632"/>
      <c r="AP44" s="632"/>
      <c r="AQ44" s="633"/>
      <c r="AR44" s="184"/>
      <c r="AS44" s="184"/>
      <c r="AT44" s="184"/>
      <c r="AU44" s="184"/>
      <c r="AV44" s="184"/>
      <c r="AW44" s="184"/>
      <c r="AX44" s="184"/>
      <c r="AY44" s="184"/>
      <c r="AZ44" s="184"/>
      <c r="BA44" s="184"/>
      <c r="BB44" s="184"/>
      <c r="BC44" s="184"/>
      <c r="BD44" s="187" t="str">
        <f>IF(Daten!D59=0,"(Pflichtfeld)","")</f>
        <v>(Pflichtfeld)</v>
      </c>
      <c r="BE44" s="184"/>
      <c r="BF44" s="184"/>
      <c r="BG44" s="184"/>
      <c r="BH44" s="184"/>
      <c r="BI44" s="184"/>
      <c r="BJ44" s="184"/>
      <c r="BK44" s="184"/>
      <c r="BL44" s="184"/>
      <c r="BM44" s="184"/>
      <c r="BN44" s="184"/>
      <c r="BO44" s="193"/>
      <c r="BP44" s="193"/>
      <c r="BQ44" s="193"/>
      <c r="BR44" s="193"/>
      <c r="BS44" s="193"/>
      <c r="BT44" s="193"/>
      <c r="BU44" s="193"/>
      <c r="BV44" s="193"/>
      <c r="BW44" s="184"/>
      <c r="BX44" s="184"/>
      <c r="BY44" s="184"/>
      <c r="BZ44" s="184"/>
      <c r="CA44" s="184"/>
      <c r="CB44" s="184"/>
      <c r="CC44" s="184"/>
      <c r="CD44" s="184"/>
      <c r="CE44" s="184"/>
      <c r="CF44" s="184"/>
      <c r="CG44" s="184"/>
      <c r="CH44" s="184"/>
      <c r="CI44" s="184"/>
      <c r="CJ44" s="184"/>
      <c r="CK44" s="184"/>
      <c r="CL44" s="184"/>
      <c r="CM44" s="184"/>
      <c r="CN44" s="184"/>
      <c r="CO44" s="184"/>
      <c r="CP44" s="184"/>
      <c r="CQ44" s="184"/>
      <c r="CR44" s="184"/>
      <c r="CS44" s="184"/>
      <c r="CT44" s="184"/>
      <c r="CU44" s="184"/>
      <c r="CV44" s="184"/>
      <c r="CW44" s="184"/>
      <c r="CX44" s="184"/>
      <c r="CY44" s="184"/>
      <c r="CZ44" s="184"/>
      <c r="DA44" s="184"/>
      <c r="DB44" s="184"/>
      <c r="DC44" s="184"/>
      <c r="DD44" s="184"/>
      <c r="DE44" s="184"/>
      <c r="DF44" s="184"/>
      <c r="DG44" s="184"/>
      <c r="DH44" s="184"/>
      <c r="DI44" s="184"/>
      <c r="DJ44" s="184"/>
      <c r="DK44" s="184"/>
      <c r="DL44" s="184"/>
      <c r="DM44" s="184"/>
      <c r="DN44" s="184"/>
      <c r="DO44" s="184"/>
      <c r="DP44" s="184"/>
      <c r="DQ44" s="184"/>
      <c r="DR44" s="184"/>
      <c r="DS44" s="184"/>
      <c r="DT44" s="184"/>
      <c r="DU44" s="184"/>
      <c r="DV44" s="184"/>
      <c r="DW44" s="184"/>
      <c r="DX44" s="184"/>
      <c r="DY44" s="184"/>
      <c r="DZ44" s="184"/>
    </row>
    <row r="45" spans="1:130" ht="6.6" customHeight="1" x14ac:dyDescent="0.2">
      <c r="A45" s="184"/>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93"/>
      <c r="AH45" s="193"/>
      <c r="AI45" s="193"/>
      <c r="AJ45" s="193"/>
      <c r="AK45" s="193"/>
      <c r="AL45" s="193"/>
      <c r="AM45" s="193"/>
      <c r="AN45" s="193"/>
      <c r="AO45" s="193"/>
      <c r="AP45" s="193"/>
      <c r="AQ45" s="193"/>
      <c r="AR45" s="184"/>
      <c r="AS45" s="184"/>
      <c r="AT45" s="184"/>
      <c r="AU45" s="184"/>
      <c r="AV45" s="184"/>
      <c r="AW45" s="184"/>
      <c r="AX45" s="184"/>
      <c r="AY45" s="184"/>
      <c r="AZ45" s="184"/>
      <c r="BA45" s="184"/>
      <c r="BB45" s="184"/>
      <c r="BC45" s="184"/>
      <c r="BD45" s="184"/>
      <c r="BE45" s="187"/>
      <c r="BF45" s="184"/>
      <c r="BG45" s="184"/>
      <c r="BH45" s="184"/>
      <c r="BI45" s="184"/>
      <c r="BJ45" s="184"/>
      <c r="BK45" s="184"/>
      <c r="BL45" s="184"/>
      <c r="BM45" s="184"/>
      <c r="BN45" s="184"/>
      <c r="BO45" s="193"/>
      <c r="BP45" s="193"/>
      <c r="BQ45" s="193"/>
      <c r="BR45" s="193"/>
      <c r="BS45" s="193"/>
      <c r="BT45" s="193"/>
      <c r="BU45" s="193"/>
      <c r="BV45" s="193"/>
      <c r="BW45" s="184"/>
      <c r="BX45" s="184"/>
      <c r="BY45" s="184"/>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4"/>
      <c r="CV45" s="184"/>
      <c r="CW45" s="184"/>
      <c r="CX45" s="184"/>
      <c r="CY45" s="184"/>
      <c r="CZ45" s="184"/>
      <c r="DA45" s="184"/>
      <c r="DB45" s="184"/>
      <c r="DC45" s="184"/>
      <c r="DD45" s="184"/>
      <c r="DE45" s="184"/>
      <c r="DF45" s="184"/>
      <c r="DG45" s="184"/>
      <c r="DH45" s="184"/>
      <c r="DI45" s="184"/>
      <c r="DJ45" s="184"/>
      <c r="DK45" s="184"/>
      <c r="DL45" s="184"/>
      <c r="DM45" s="184"/>
      <c r="DN45" s="184"/>
      <c r="DO45" s="184"/>
      <c r="DP45" s="184"/>
      <c r="DQ45" s="184"/>
      <c r="DR45" s="184"/>
      <c r="DS45" s="184"/>
      <c r="DT45" s="184"/>
      <c r="DU45" s="184"/>
      <c r="DV45" s="184"/>
      <c r="DW45" s="184"/>
      <c r="DX45" s="184"/>
      <c r="DY45" s="184"/>
      <c r="DZ45" s="184"/>
    </row>
    <row r="46" spans="1:130" ht="14.1" customHeight="1" x14ac:dyDescent="0.2">
      <c r="A46" s="184"/>
      <c r="B46" s="184" t="s">
        <v>900</v>
      </c>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666"/>
      <c r="AH46" s="667"/>
      <c r="AI46" s="667"/>
      <c r="AJ46" s="667"/>
      <c r="AK46" s="667"/>
      <c r="AL46" s="667"/>
      <c r="AM46" s="667"/>
      <c r="AN46" s="667"/>
      <c r="AO46" s="667"/>
      <c r="AP46" s="667"/>
      <c r="AQ46" s="667"/>
      <c r="AR46" s="667"/>
      <c r="AS46" s="667"/>
      <c r="AT46" s="667"/>
      <c r="AU46" s="667"/>
      <c r="AV46" s="667"/>
      <c r="AW46" s="667"/>
      <c r="AX46" s="667"/>
      <c r="AY46" s="667"/>
      <c r="AZ46" s="667"/>
      <c r="BA46" s="667"/>
      <c r="BB46" s="667"/>
      <c r="BC46" s="667"/>
      <c r="BD46" s="668"/>
      <c r="BE46" s="187"/>
      <c r="BF46" s="184"/>
      <c r="BG46" s="184"/>
      <c r="BH46" s="184"/>
      <c r="BI46" s="184"/>
      <c r="BJ46" s="184"/>
      <c r="BK46" s="184"/>
      <c r="BL46" s="184"/>
      <c r="BM46" s="187" t="str">
        <f>IF(Daten!D64=0,"(Pflichtfeld)","")</f>
        <v>(Pflichtfeld)</v>
      </c>
      <c r="BN46" s="184"/>
      <c r="BO46" s="193"/>
      <c r="BP46" s="193"/>
      <c r="BQ46" s="193"/>
      <c r="BR46" s="193"/>
      <c r="BS46" s="193"/>
      <c r="BT46" s="193"/>
      <c r="BU46" s="193"/>
      <c r="BV46" s="193"/>
      <c r="BW46" s="184"/>
      <c r="BX46" s="184"/>
      <c r="BY46" s="184"/>
      <c r="BZ46" s="184"/>
      <c r="CA46" s="184"/>
      <c r="CB46" s="184"/>
      <c r="CC46" s="184"/>
      <c r="CD46" s="184"/>
      <c r="CE46" s="184"/>
      <c r="CF46" s="184"/>
      <c r="CG46" s="184"/>
      <c r="CH46" s="184"/>
      <c r="CI46" s="184"/>
      <c r="CJ46" s="184"/>
      <c r="CK46" s="184"/>
      <c r="CL46" s="184"/>
      <c r="CM46" s="184"/>
      <c r="CN46" s="184"/>
      <c r="CO46" s="184"/>
      <c r="CP46" s="184"/>
      <c r="CQ46" s="184"/>
      <c r="CR46" s="184"/>
      <c r="CS46" s="184"/>
      <c r="CT46" s="184"/>
      <c r="CU46" s="184"/>
      <c r="CV46" s="184"/>
      <c r="CW46" s="184"/>
      <c r="CX46" s="184"/>
      <c r="CY46" s="184"/>
      <c r="CZ46" s="184"/>
      <c r="DA46" s="184"/>
      <c r="DB46" s="184"/>
      <c r="DC46" s="184"/>
      <c r="DD46" s="184"/>
      <c r="DE46" s="184"/>
      <c r="DF46" s="184"/>
      <c r="DG46" s="184"/>
      <c r="DH46" s="184"/>
      <c r="DI46" s="184"/>
      <c r="DJ46" s="184"/>
      <c r="DK46" s="184"/>
      <c r="DL46" s="184"/>
      <c r="DM46" s="184"/>
      <c r="DN46" s="184"/>
      <c r="DO46" s="184"/>
      <c r="DP46" s="184"/>
      <c r="DQ46" s="184"/>
      <c r="DR46" s="184"/>
      <c r="DS46" s="184"/>
      <c r="DT46" s="184"/>
      <c r="DU46" s="184"/>
      <c r="DV46" s="184"/>
      <c r="DW46" s="184"/>
      <c r="DX46" s="184"/>
      <c r="DY46" s="184"/>
      <c r="DZ46" s="184"/>
    </row>
    <row r="47" spans="1:130" ht="6.6" customHeight="1" x14ac:dyDescent="0.2">
      <c r="A47" s="184"/>
      <c r="B47" s="184"/>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93"/>
      <c r="BP47" s="193"/>
      <c r="BQ47" s="193"/>
      <c r="BR47" s="193"/>
      <c r="BS47" s="193"/>
      <c r="BT47" s="193"/>
      <c r="BU47" s="193"/>
      <c r="BV47" s="193"/>
      <c r="BW47" s="184"/>
      <c r="BX47" s="184"/>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c r="CY47" s="184"/>
      <c r="CZ47" s="184"/>
      <c r="DA47" s="184"/>
      <c r="DB47" s="184"/>
      <c r="DC47" s="184"/>
      <c r="DD47" s="184"/>
      <c r="DE47" s="184"/>
      <c r="DF47" s="184"/>
      <c r="DG47" s="184"/>
      <c r="DH47" s="184"/>
      <c r="DI47" s="184"/>
      <c r="DJ47" s="184"/>
      <c r="DK47" s="184"/>
      <c r="DL47" s="184"/>
      <c r="DM47" s="184"/>
      <c r="DN47" s="184"/>
      <c r="DO47" s="184"/>
      <c r="DP47" s="184"/>
      <c r="DQ47" s="184"/>
      <c r="DR47" s="184"/>
      <c r="DS47" s="184"/>
      <c r="DT47" s="184"/>
      <c r="DU47" s="184"/>
      <c r="DV47" s="184"/>
      <c r="DW47" s="184"/>
      <c r="DX47" s="184"/>
      <c r="DY47" s="184"/>
      <c r="DZ47" s="184"/>
    </row>
    <row r="48" spans="1:130" ht="14.1" customHeight="1" x14ac:dyDescent="0.2">
      <c r="A48" s="184"/>
      <c r="B48" s="184" t="s">
        <v>914</v>
      </c>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666"/>
      <c r="AH48" s="667"/>
      <c r="AI48" s="667"/>
      <c r="AJ48" s="667"/>
      <c r="AK48" s="667"/>
      <c r="AL48" s="667"/>
      <c r="AM48" s="667"/>
      <c r="AN48" s="667"/>
      <c r="AO48" s="667"/>
      <c r="AP48" s="667"/>
      <c r="AQ48" s="668"/>
      <c r="AR48" s="196"/>
      <c r="AS48" s="196"/>
      <c r="AT48" s="184"/>
      <c r="AU48" s="186"/>
      <c r="AV48" s="186"/>
      <c r="AW48" s="184"/>
      <c r="AX48" s="184"/>
      <c r="AY48" s="184"/>
      <c r="AZ48" s="184"/>
      <c r="BA48" s="184"/>
      <c r="BB48" s="184"/>
      <c r="BC48" s="184"/>
      <c r="BD48" s="187" t="str">
        <f>IF(AG48="","(Pflichtfeld)","")</f>
        <v>(Pflichtfeld)</v>
      </c>
      <c r="BE48" s="184"/>
      <c r="BF48" s="184"/>
      <c r="BG48" s="184"/>
      <c r="BH48" s="184"/>
      <c r="BI48" s="184"/>
      <c r="BJ48" s="184"/>
      <c r="BK48" s="184"/>
      <c r="BL48" s="184"/>
      <c r="BM48" s="184"/>
      <c r="BN48" s="184"/>
      <c r="BO48" s="193"/>
      <c r="BP48" s="193"/>
      <c r="BQ48" s="193"/>
      <c r="BR48" s="193"/>
      <c r="BS48" s="193"/>
      <c r="BT48" s="193"/>
      <c r="BU48" s="193"/>
      <c r="BV48" s="193"/>
      <c r="BW48" s="198"/>
      <c r="BX48" s="184"/>
      <c r="BY48" s="184"/>
      <c r="BZ48" s="184"/>
      <c r="CA48" s="184"/>
      <c r="CB48" s="184"/>
      <c r="CC48" s="184"/>
      <c r="CD48" s="184"/>
      <c r="CE48" s="184"/>
      <c r="CF48" s="184"/>
      <c r="CG48" s="184"/>
      <c r="CH48" s="184"/>
      <c r="CI48" s="184"/>
      <c r="CJ48" s="184"/>
      <c r="CK48" s="184"/>
      <c r="CL48" s="184"/>
      <c r="CM48" s="184"/>
      <c r="CN48" s="184"/>
      <c r="CO48" s="184"/>
      <c r="CP48" s="184"/>
      <c r="CQ48" s="184"/>
      <c r="CR48" s="184"/>
      <c r="CS48" s="184"/>
      <c r="CT48" s="184"/>
      <c r="CU48" s="184"/>
      <c r="CV48" s="184"/>
      <c r="CW48" s="184"/>
      <c r="CX48" s="184"/>
      <c r="CY48" s="184"/>
      <c r="CZ48" s="184"/>
      <c r="DA48" s="184"/>
      <c r="DB48" s="184"/>
      <c r="DC48" s="184"/>
      <c r="DD48" s="184"/>
      <c r="DE48" s="184"/>
      <c r="DF48" s="184"/>
      <c r="DG48" s="184"/>
      <c r="DH48" s="184"/>
      <c r="DI48" s="184"/>
      <c r="DJ48" s="184"/>
      <c r="DK48" s="184"/>
      <c r="DL48" s="184"/>
      <c r="DM48" s="184"/>
      <c r="DN48" s="184"/>
      <c r="DO48" s="184"/>
      <c r="DP48" s="184"/>
      <c r="DQ48" s="184"/>
      <c r="DR48" s="184"/>
      <c r="DS48" s="184"/>
      <c r="DT48" s="184"/>
      <c r="DU48" s="184"/>
      <c r="DV48" s="184"/>
      <c r="DW48" s="184"/>
      <c r="DX48" s="184"/>
      <c r="DY48" s="184"/>
      <c r="DZ48" s="184"/>
    </row>
    <row r="49" spans="1:130" ht="6.6" customHeight="1" x14ac:dyDescent="0.2">
      <c r="A49" s="184"/>
      <c r="B49" s="184"/>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93"/>
      <c r="BP49" s="193"/>
      <c r="BQ49" s="193"/>
      <c r="BR49" s="193"/>
      <c r="BS49" s="193"/>
      <c r="BT49" s="193"/>
      <c r="BU49" s="193"/>
      <c r="BV49" s="193"/>
      <c r="BW49" s="184"/>
      <c r="BX49" s="184"/>
      <c r="BY49" s="184"/>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c r="CY49" s="184"/>
      <c r="CZ49" s="184"/>
      <c r="DA49" s="184"/>
      <c r="DB49" s="184"/>
      <c r="DC49" s="184"/>
      <c r="DD49" s="184"/>
      <c r="DE49" s="184"/>
      <c r="DF49" s="184"/>
      <c r="DG49" s="184"/>
      <c r="DH49" s="184"/>
      <c r="DI49" s="184"/>
      <c r="DJ49" s="184"/>
      <c r="DK49" s="184"/>
      <c r="DL49" s="184"/>
      <c r="DM49" s="184"/>
      <c r="DN49" s="184"/>
      <c r="DO49" s="184"/>
      <c r="DP49" s="184"/>
      <c r="DQ49" s="184"/>
      <c r="DR49" s="184"/>
      <c r="DS49" s="184"/>
      <c r="DT49" s="184"/>
      <c r="DU49" s="184"/>
      <c r="DV49" s="184"/>
      <c r="DW49" s="184"/>
      <c r="DX49" s="184"/>
      <c r="DY49" s="184"/>
      <c r="DZ49" s="184"/>
    </row>
    <row r="50" spans="1:130" ht="14.1" customHeight="1" x14ac:dyDescent="0.25">
      <c r="A50" s="199"/>
      <c r="B50" s="200" t="s">
        <v>992</v>
      </c>
      <c r="C50" s="201"/>
      <c r="D50" s="201"/>
      <c r="E50" s="201"/>
      <c r="F50" s="201"/>
      <c r="G50" s="201"/>
      <c r="H50" s="201"/>
      <c r="I50" s="201"/>
      <c r="J50" s="201"/>
      <c r="K50" s="201"/>
      <c r="L50" s="201"/>
      <c r="M50" s="201"/>
      <c r="N50" s="201"/>
      <c r="O50" s="201"/>
      <c r="P50" s="201"/>
      <c r="Q50" s="670"/>
      <c r="R50" s="670"/>
      <c r="S50" s="670"/>
      <c r="T50" s="670"/>
      <c r="U50" s="670"/>
      <c r="V50" s="670"/>
      <c r="W50" s="670"/>
      <c r="X50" s="670"/>
      <c r="Y50" s="670"/>
      <c r="Z50" s="670"/>
      <c r="AA50" s="670"/>
      <c r="AB50" s="670"/>
      <c r="AC50" s="670"/>
      <c r="AD50" s="670"/>
      <c r="AE50" s="670"/>
      <c r="AF50" s="670"/>
      <c r="AG50" s="669" t="str">
        <f>IF(Daten!C161=1,Daten!D85,"")</f>
        <v/>
      </c>
      <c r="AH50" s="669"/>
      <c r="AI50" s="669"/>
      <c r="AJ50" s="669"/>
      <c r="AK50" s="669"/>
      <c r="AL50" s="669"/>
      <c r="AM50" s="669"/>
      <c r="AN50" s="669"/>
      <c r="AO50" s="669"/>
      <c r="AP50" s="669"/>
      <c r="AQ50" s="669"/>
      <c r="AR50" s="201"/>
      <c r="AS50" s="201" t="s">
        <v>853</v>
      </c>
      <c r="AT50" s="199"/>
      <c r="AU50" s="184"/>
      <c r="AV50" s="184"/>
      <c r="AW50" s="184"/>
      <c r="AX50" s="184"/>
      <c r="AY50" s="184"/>
      <c r="AZ50" s="184"/>
      <c r="BA50" s="184"/>
      <c r="BB50" s="184"/>
      <c r="BC50" s="184"/>
      <c r="BD50" s="184"/>
      <c r="BE50" s="202" t="str">
        <f>IF(AND(Daten!K79&gt;0,Daten!C161=1),"→","")</f>
        <v/>
      </c>
      <c r="BF50" s="184"/>
      <c r="BG50" s="184"/>
      <c r="BH50" s="184"/>
      <c r="BI50" s="184"/>
      <c r="BJ50" s="184"/>
      <c r="BK50" s="199"/>
      <c r="BL50" s="184"/>
      <c r="BM50" s="199"/>
      <c r="BN50" s="199"/>
      <c r="BO50" s="203"/>
      <c r="BP50" s="629" t="str">
        <f>IF(AND(Daten!K79&gt;0,Daten!C161=1),Daten!H107,"")</f>
        <v/>
      </c>
      <c r="BQ50" s="630"/>
      <c r="BR50" s="630"/>
      <c r="BS50" s="630"/>
      <c r="BT50" s="630"/>
      <c r="BU50" s="630"/>
      <c r="BV50" s="630"/>
      <c r="BW50" s="624" t="str">
        <f>IF(AND(Daten!K79&gt;0,Daten!C161=1),"€","")</f>
        <v/>
      </c>
      <c r="BX50" s="624"/>
      <c r="BY50" s="624"/>
      <c r="BZ50" s="184"/>
      <c r="CA50" s="184"/>
      <c r="CB50" s="184"/>
      <c r="CC50" s="184"/>
      <c r="CD50" s="184"/>
      <c r="CE50" s="184"/>
      <c r="CF50" s="184"/>
      <c r="CG50" s="184"/>
      <c r="CH50" s="184"/>
      <c r="CI50" s="184"/>
      <c r="CJ50" s="184"/>
      <c r="CK50" s="184"/>
      <c r="CL50" s="184"/>
      <c r="CM50" s="184"/>
      <c r="CN50" s="184"/>
      <c r="CO50" s="184"/>
      <c r="CP50" s="184"/>
      <c r="CQ50" s="184"/>
      <c r="CR50" s="184"/>
      <c r="CS50" s="184"/>
      <c r="CT50" s="184"/>
      <c r="CU50" s="184"/>
      <c r="CV50" s="184"/>
      <c r="CW50" s="184"/>
      <c r="CX50" s="184"/>
      <c r="CY50" s="184"/>
      <c r="CZ50" s="184"/>
      <c r="DA50" s="184"/>
      <c r="DB50" s="184"/>
      <c r="DC50" s="184"/>
      <c r="DD50" s="184"/>
      <c r="DE50" s="184"/>
      <c r="DF50" s="184"/>
      <c r="DG50" s="184"/>
      <c r="DH50" s="184"/>
      <c r="DI50" s="184"/>
      <c r="DJ50" s="184"/>
      <c r="DK50" s="184"/>
      <c r="DL50" s="184"/>
      <c r="DM50" s="184"/>
      <c r="DN50" s="184"/>
      <c r="DO50" s="184"/>
      <c r="DP50" s="184"/>
      <c r="DQ50" s="184"/>
      <c r="DR50" s="184"/>
      <c r="DS50" s="184"/>
      <c r="DT50" s="184"/>
      <c r="DU50" s="184"/>
      <c r="DV50" s="184"/>
      <c r="DW50" s="184"/>
      <c r="DX50" s="184"/>
      <c r="DY50" s="184"/>
      <c r="DZ50" s="184"/>
    </row>
    <row r="51" spans="1:130" ht="6.6" customHeight="1" x14ac:dyDescent="0.2">
      <c r="A51" s="199"/>
      <c r="B51" s="184"/>
      <c r="C51" s="199"/>
      <c r="D51" s="199"/>
      <c r="E51" s="199"/>
      <c r="F51" s="199"/>
      <c r="G51" s="199"/>
      <c r="H51" s="199"/>
      <c r="I51" s="199"/>
      <c r="J51" s="199"/>
      <c r="K51" s="199"/>
      <c r="L51" s="199"/>
      <c r="M51" s="199"/>
      <c r="N51" s="199"/>
      <c r="O51" s="199"/>
      <c r="P51" s="199"/>
      <c r="Q51" s="670"/>
      <c r="R51" s="670"/>
      <c r="S51" s="670"/>
      <c r="T51" s="670"/>
      <c r="U51" s="670"/>
      <c r="V51" s="670"/>
      <c r="W51" s="670"/>
      <c r="X51" s="670"/>
      <c r="Y51" s="670"/>
      <c r="Z51" s="670"/>
      <c r="AA51" s="670"/>
      <c r="AB51" s="670"/>
      <c r="AC51" s="670"/>
      <c r="AD51" s="670"/>
      <c r="AE51" s="670"/>
      <c r="AF51" s="670"/>
      <c r="AG51" s="199"/>
      <c r="AH51" s="199"/>
      <c r="AI51" s="199"/>
      <c r="AJ51" s="199"/>
      <c r="AK51" s="199"/>
      <c r="AL51" s="199"/>
      <c r="AM51" s="199"/>
      <c r="AN51" s="199"/>
      <c r="AO51" s="199"/>
      <c r="AP51" s="199"/>
      <c r="AQ51" s="199"/>
      <c r="AR51" s="199"/>
      <c r="AS51" s="199"/>
      <c r="AT51" s="199"/>
      <c r="AU51" s="184"/>
      <c r="AV51" s="184"/>
      <c r="AW51" s="184"/>
      <c r="AX51" s="184"/>
      <c r="AY51" s="184"/>
      <c r="AZ51" s="184"/>
      <c r="BA51" s="184"/>
      <c r="BB51" s="184"/>
      <c r="BC51" s="184"/>
      <c r="BD51" s="184"/>
      <c r="BE51" s="184"/>
      <c r="BF51" s="184"/>
      <c r="BG51" s="184"/>
      <c r="BH51" s="184"/>
      <c r="BI51" s="184"/>
      <c r="BJ51" s="184"/>
      <c r="BK51" s="199"/>
      <c r="BL51" s="199"/>
      <c r="BM51" s="199"/>
      <c r="BN51" s="199"/>
      <c r="BO51" s="203"/>
      <c r="BP51" s="203"/>
      <c r="BQ51" s="203"/>
      <c r="BR51" s="203"/>
      <c r="BS51" s="203"/>
      <c r="BT51" s="203"/>
      <c r="BU51" s="203"/>
      <c r="BV51" s="203"/>
      <c r="BW51" s="199"/>
      <c r="BX51" s="199"/>
      <c r="BY51" s="199"/>
      <c r="BZ51" s="184"/>
      <c r="CA51" s="184"/>
      <c r="CB51" s="184"/>
      <c r="CC51" s="184"/>
      <c r="CD51" s="184"/>
      <c r="CE51" s="184"/>
      <c r="CF51" s="184"/>
      <c r="CG51" s="184"/>
      <c r="CH51" s="184"/>
      <c r="CI51" s="184"/>
      <c r="CJ51" s="184"/>
      <c r="CK51" s="184"/>
      <c r="CL51" s="184"/>
      <c r="CM51" s="184"/>
      <c r="CN51" s="184"/>
      <c r="CO51" s="184"/>
      <c r="CP51" s="184"/>
      <c r="CQ51" s="184"/>
      <c r="CR51" s="184"/>
      <c r="CS51" s="184"/>
      <c r="CT51" s="184"/>
      <c r="CU51" s="184"/>
      <c r="CV51" s="184"/>
      <c r="CW51" s="184"/>
      <c r="CX51" s="184"/>
      <c r="CY51" s="184"/>
      <c r="CZ51" s="184"/>
      <c r="DA51" s="184"/>
      <c r="DB51" s="184"/>
      <c r="DC51" s="184"/>
      <c r="DD51" s="184"/>
      <c r="DE51" s="184"/>
      <c r="DF51" s="184"/>
      <c r="DG51" s="184"/>
      <c r="DH51" s="184"/>
      <c r="DI51" s="184"/>
      <c r="DJ51" s="184"/>
      <c r="DK51" s="184"/>
      <c r="DL51" s="184"/>
      <c r="DM51" s="184"/>
      <c r="DN51" s="184"/>
      <c r="DO51" s="184"/>
      <c r="DP51" s="184"/>
      <c r="DQ51" s="184"/>
      <c r="DR51" s="184"/>
      <c r="DS51" s="184"/>
      <c r="DT51" s="184"/>
      <c r="DU51" s="184"/>
      <c r="DV51" s="184"/>
      <c r="DW51" s="184"/>
      <c r="DX51" s="184"/>
      <c r="DY51" s="184"/>
      <c r="DZ51" s="184"/>
    </row>
    <row r="52" spans="1:130" ht="14.1" customHeight="1" x14ac:dyDescent="0.25">
      <c r="A52" s="199"/>
      <c r="B52" s="201" t="s">
        <v>991</v>
      </c>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678"/>
      <c r="AH52" s="678"/>
      <c r="AI52" s="678"/>
      <c r="AJ52" s="678"/>
      <c r="AK52" s="678"/>
      <c r="AL52" s="678"/>
      <c r="AM52" s="678"/>
      <c r="AN52" s="678"/>
      <c r="AO52" s="678"/>
      <c r="AP52" s="678"/>
      <c r="AQ52" s="678"/>
      <c r="AR52" s="201"/>
      <c r="AS52" s="201" t="s">
        <v>853</v>
      </c>
      <c r="AT52" s="199"/>
      <c r="AU52" s="184"/>
      <c r="AV52" s="184"/>
      <c r="AW52" s="184"/>
      <c r="AX52" s="184"/>
      <c r="AY52" s="184"/>
      <c r="AZ52" s="184"/>
      <c r="BA52" s="184"/>
      <c r="BB52" s="184"/>
      <c r="BC52" s="184"/>
      <c r="BD52" s="184"/>
      <c r="BE52" s="204" t="str">
        <f>IF(AND(Daten!K79&gt;0,Daten!C161=2),"→","")</f>
        <v/>
      </c>
      <c r="BF52" s="184"/>
      <c r="BG52" s="184"/>
      <c r="BH52" s="184"/>
      <c r="BI52" s="184"/>
      <c r="BJ52" s="184"/>
      <c r="BK52" s="205"/>
      <c r="BL52" s="184"/>
      <c r="BM52" s="205"/>
      <c r="BN52" s="205"/>
      <c r="BO52" s="206"/>
      <c r="BP52" s="676" t="str">
        <f>IF(AND(Daten!K79&gt;0,Daten!C161=2),Daten!H105,"")</f>
        <v/>
      </c>
      <c r="BQ52" s="677"/>
      <c r="BR52" s="677"/>
      <c r="BS52" s="677"/>
      <c r="BT52" s="677"/>
      <c r="BU52" s="677"/>
      <c r="BV52" s="677"/>
      <c r="BW52" s="625" t="str">
        <f>IF(AND(Daten!K79&gt;0,Daten!C161=2),"€","")</f>
        <v/>
      </c>
      <c r="BX52" s="625"/>
      <c r="BY52" s="625"/>
      <c r="BZ52" s="184"/>
      <c r="CA52" s="207"/>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c r="CZ52" s="184"/>
      <c r="DA52" s="184"/>
      <c r="DB52" s="184"/>
      <c r="DC52" s="184"/>
      <c r="DD52" s="184"/>
      <c r="DE52" s="184"/>
      <c r="DF52" s="184"/>
      <c r="DG52" s="184"/>
      <c r="DH52" s="184"/>
      <c r="DI52" s="184"/>
      <c r="DJ52" s="184"/>
      <c r="DK52" s="184"/>
      <c r="DL52" s="184"/>
      <c r="DM52" s="184"/>
      <c r="DN52" s="184"/>
      <c r="DO52" s="184"/>
      <c r="DP52" s="184"/>
      <c r="DQ52" s="184"/>
      <c r="DR52" s="184"/>
      <c r="DS52" s="184"/>
      <c r="DT52" s="184"/>
      <c r="DU52" s="184"/>
      <c r="DV52" s="184"/>
      <c r="DW52" s="184"/>
      <c r="DX52" s="184"/>
      <c r="DY52" s="184"/>
      <c r="DZ52" s="184"/>
    </row>
    <row r="53" spans="1:130" ht="6.6" customHeight="1" x14ac:dyDescent="0.2">
      <c r="A53" s="199"/>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84"/>
      <c r="AV53" s="184"/>
      <c r="AW53" s="184"/>
      <c r="AX53" s="184"/>
      <c r="AY53" s="184"/>
      <c r="AZ53" s="184"/>
      <c r="BA53" s="184"/>
      <c r="BB53" s="184"/>
      <c r="BC53" s="184"/>
      <c r="BD53" s="184"/>
      <c r="BE53" s="184"/>
      <c r="BF53" s="184"/>
      <c r="BG53" s="184"/>
      <c r="BH53" s="184"/>
      <c r="BI53" s="184"/>
      <c r="BJ53" s="184"/>
      <c r="BK53" s="205"/>
      <c r="BL53" s="205"/>
      <c r="BM53" s="205"/>
      <c r="BN53" s="205"/>
      <c r="BO53" s="206"/>
      <c r="BP53" s="184"/>
      <c r="BQ53" s="184"/>
      <c r="BR53" s="184"/>
      <c r="BS53" s="184"/>
      <c r="BT53" s="184"/>
      <c r="BU53" s="184"/>
      <c r="BV53" s="184"/>
      <c r="BW53" s="205"/>
      <c r="BX53" s="205"/>
      <c r="BY53" s="205"/>
      <c r="BZ53" s="184"/>
      <c r="CA53" s="184"/>
      <c r="CB53" s="184"/>
      <c r="CC53" s="184"/>
      <c r="CD53" s="184"/>
      <c r="CE53" s="184"/>
      <c r="CF53" s="208"/>
      <c r="CG53" s="184"/>
      <c r="CH53" s="184"/>
      <c r="CI53" s="184"/>
      <c r="CJ53" s="184"/>
      <c r="CK53" s="184"/>
      <c r="CL53" s="184"/>
      <c r="CM53" s="184"/>
      <c r="CN53" s="184"/>
      <c r="CO53" s="184"/>
      <c r="CP53" s="184"/>
      <c r="CQ53" s="184"/>
      <c r="CR53" s="184"/>
      <c r="CS53" s="184"/>
      <c r="CT53" s="184"/>
      <c r="CU53" s="184"/>
      <c r="CV53" s="184"/>
      <c r="CW53" s="184"/>
      <c r="CX53" s="184"/>
      <c r="CY53" s="184"/>
      <c r="CZ53" s="184"/>
      <c r="DA53" s="184"/>
      <c r="DB53" s="184"/>
      <c r="DC53" s="184"/>
      <c r="DD53" s="184"/>
      <c r="DE53" s="184"/>
      <c r="DF53" s="184"/>
      <c r="DG53" s="184"/>
      <c r="DH53" s="184"/>
      <c r="DI53" s="184"/>
      <c r="DJ53" s="184"/>
      <c r="DK53" s="184"/>
      <c r="DL53" s="184"/>
      <c r="DM53" s="184"/>
      <c r="DN53" s="184"/>
      <c r="DO53" s="184"/>
      <c r="DP53" s="184"/>
      <c r="DQ53" s="184"/>
      <c r="DR53" s="184"/>
      <c r="DS53" s="184"/>
      <c r="DT53" s="184"/>
      <c r="DU53" s="184"/>
      <c r="DV53" s="184"/>
      <c r="DW53" s="184"/>
      <c r="DX53" s="184"/>
      <c r="DY53" s="184"/>
      <c r="DZ53" s="184"/>
    </row>
    <row r="54" spans="1:130" ht="14.1" customHeight="1" x14ac:dyDescent="0.2">
      <c r="A54" s="184"/>
      <c r="B54" s="190" t="s">
        <v>852</v>
      </c>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209"/>
      <c r="AG54" s="184"/>
      <c r="AH54" s="184"/>
      <c r="AI54" s="184"/>
      <c r="AJ54" s="184"/>
      <c r="AK54" s="184"/>
      <c r="AL54" s="184"/>
      <c r="AM54" s="184"/>
      <c r="AN54" s="184"/>
      <c r="AO54" s="184"/>
      <c r="AP54" s="184"/>
      <c r="AQ54" s="184"/>
      <c r="AR54" s="209"/>
      <c r="AS54" s="209"/>
      <c r="AT54" s="209"/>
      <c r="AU54" s="209"/>
      <c r="AV54" s="209"/>
      <c r="AW54" s="209"/>
      <c r="AX54" s="209"/>
      <c r="AY54" s="184"/>
      <c r="AZ54" s="184"/>
      <c r="BA54" s="184"/>
      <c r="BB54" s="184"/>
      <c r="BC54" s="184"/>
      <c r="BD54" s="184"/>
      <c r="BE54" s="184"/>
      <c r="BF54" s="184"/>
      <c r="BG54" s="184"/>
      <c r="BH54" s="184"/>
      <c r="BI54" s="184"/>
      <c r="BJ54" s="184"/>
      <c r="BK54" s="184"/>
      <c r="BL54" s="184"/>
      <c r="BM54" s="184"/>
      <c r="BN54" s="184"/>
      <c r="BO54" s="193"/>
      <c r="BP54" s="193"/>
      <c r="BQ54" s="193"/>
      <c r="BR54" s="193"/>
      <c r="BS54" s="193"/>
      <c r="BT54" s="193"/>
      <c r="BU54" s="193"/>
      <c r="BV54" s="193"/>
      <c r="BW54" s="184"/>
      <c r="BX54" s="184"/>
      <c r="BY54" s="184"/>
      <c r="BZ54" s="184"/>
      <c r="CA54" s="672"/>
      <c r="CB54" s="672"/>
      <c r="CC54" s="672"/>
      <c r="CD54" s="672"/>
      <c r="CE54" s="672"/>
      <c r="CF54" s="672"/>
      <c r="CG54" s="208"/>
      <c r="CH54" s="184"/>
      <c r="CI54" s="184"/>
      <c r="CJ54" s="184"/>
      <c r="CK54" s="184"/>
      <c r="CL54" s="184"/>
      <c r="CM54" s="184"/>
      <c r="CN54" s="184"/>
      <c r="CO54" s="184"/>
      <c r="CP54" s="184"/>
      <c r="CQ54" s="184"/>
      <c r="CR54" s="184"/>
      <c r="CS54" s="184"/>
      <c r="CT54" s="184"/>
      <c r="CU54" s="184"/>
      <c r="CV54" s="184"/>
      <c r="CW54" s="184"/>
      <c r="CX54" s="184"/>
      <c r="CY54" s="184"/>
      <c r="CZ54" s="184"/>
      <c r="DA54" s="184"/>
      <c r="DB54" s="184"/>
      <c r="DC54" s="184"/>
      <c r="DD54" s="184"/>
      <c r="DE54" s="184"/>
      <c r="DF54" s="184"/>
      <c r="DG54" s="184"/>
      <c r="DH54" s="184"/>
      <c r="DI54" s="184"/>
      <c r="DJ54" s="184"/>
      <c r="DK54" s="184"/>
      <c r="DL54" s="184"/>
      <c r="DM54" s="184"/>
      <c r="DN54" s="184"/>
      <c r="DO54" s="184"/>
      <c r="DP54" s="184"/>
      <c r="DQ54" s="184"/>
      <c r="DR54" s="184"/>
      <c r="DS54" s="184"/>
      <c r="DT54" s="184"/>
      <c r="DU54" s="184"/>
      <c r="DV54" s="184"/>
      <c r="DW54" s="184"/>
      <c r="DX54" s="184"/>
      <c r="DY54" s="184"/>
      <c r="DZ54" s="184"/>
    </row>
    <row r="55" spans="1:130" ht="6" customHeight="1" x14ac:dyDescent="0.2">
      <c r="A55" s="184"/>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93"/>
      <c r="BP55" s="193"/>
      <c r="BQ55" s="193"/>
      <c r="BR55" s="193"/>
      <c r="BS55" s="193"/>
      <c r="BT55" s="193"/>
      <c r="BU55" s="193"/>
      <c r="BV55" s="193"/>
      <c r="BW55" s="184"/>
      <c r="BX55" s="184"/>
      <c r="BY55" s="184"/>
      <c r="BZ55" s="184"/>
      <c r="CA55" s="193"/>
      <c r="CB55" s="193"/>
      <c r="CC55" s="193"/>
      <c r="CD55" s="193"/>
      <c r="CE55" s="193"/>
      <c r="CF55" s="210"/>
      <c r="CG55" s="184"/>
      <c r="CH55" s="184"/>
      <c r="CI55" s="184"/>
      <c r="CJ55" s="184"/>
      <c r="CK55" s="184"/>
      <c r="CL55" s="184"/>
      <c r="CM55" s="184"/>
      <c r="CN55" s="184"/>
      <c r="CO55" s="184"/>
      <c r="CP55" s="184"/>
      <c r="CQ55" s="184"/>
      <c r="CR55" s="184"/>
      <c r="CS55" s="184"/>
      <c r="CT55" s="184"/>
      <c r="CU55" s="184"/>
      <c r="CV55" s="184"/>
      <c r="CW55" s="184"/>
      <c r="CX55" s="184"/>
      <c r="CY55" s="184"/>
      <c r="CZ55" s="184"/>
      <c r="DA55" s="184"/>
      <c r="DB55" s="184"/>
      <c r="DC55" s="184"/>
      <c r="DD55" s="184"/>
      <c r="DE55" s="184"/>
      <c r="DF55" s="184"/>
      <c r="DG55" s="184"/>
      <c r="DH55" s="184"/>
      <c r="DI55" s="184"/>
      <c r="DJ55" s="184"/>
      <c r="DK55" s="184"/>
      <c r="DL55" s="184"/>
      <c r="DM55" s="184"/>
      <c r="DN55" s="184"/>
      <c r="DO55" s="184"/>
      <c r="DP55" s="184"/>
      <c r="DQ55" s="184"/>
      <c r="DR55" s="184"/>
      <c r="DS55" s="184"/>
      <c r="DT55" s="184"/>
      <c r="DU55" s="184"/>
      <c r="DV55" s="184"/>
      <c r="DW55" s="184"/>
      <c r="DX55" s="184"/>
      <c r="DY55" s="184"/>
      <c r="DZ55" s="184"/>
    </row>
    <row r="56" spans="1:130" ht="14.1" customHeight="1" x14ac:dyDescent="0.2">
      <c r="A56" s="184"/>
      <c r="B56" s="211" t="s">
        <v>429</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184"/>
      <c r="AG56" s="637"/>
      <c r="AH56" s="638"/>
      <c r="AI56" s="638"/>
      <c r="AJ56" s="638"/>
      <c r="AK56" s="638"/>
      <c r="AL56" s="638"/>
      <c r="AM56" s="638"/>
      <c r="AN56" s="638"/>
      <c r="AO56" s="638"/>
      <c r="AP56" s="638"/>
      <c r="AQ56" s="639"/>
      <c r="AR56" s="184"/>
      <c r="AS56" s="184" t="s">
        <v>401</v>
      </c>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93"/>
      <c r="BP56" s="193"/>
      <c r="BQ56" s="193"/>
      <c r="BR56" s="193"/>
      <c r="BS56" s="193"/>
      <c r="BT56" s="193"/>
      <c r="BU56" s="193"/>
      <c r="BV56" s="193"/>
      <c r="BW56" s="184"/>
      <c r="BX56" s="184"/>
      <c r="BY56" s="184"/>
      <c r="BZ56" s="184"/>
      <c r="CA56" s="672"/>
      <c r="CB56" s="672"/>
      <c r="CC56" s="672"/>
      <c r="CD56" s="672"/>
      <c r="CE56" s="672"/>
      <c r="CF56" s="672"/>
      <c r="CG56" s="213"/>
      <c r="CH56" s="184"/>
      <c r="CI56" s="184"/>
      <c r="CJ56" s="184"/>
      <c r="CK56" s="184"/>
      <c r="CL56" s="184"/>
      <c r="CM56" s="184"/>
      <c r="CN56" s="184"/>
      <c r="CO56" s="184"/>
      <c r="CP56" s="184"/>
      <c r="CQ56" s="184"/>
      <c r="CR56" s="184"/>
      <c r="CS56" s="184"/>
      <c r="CT56" s="184"/>
      <c r="CU56" s="184"/>
      <c r="CV56" s="184"/>
      <c r="CW56" s="184"/>
      <c r="CX56" s="184"/>
      <c r="CY56" s="184"/>
      <c r="CZ56" s="184"/>
      <c r="DA56" s="184"/>
      <c r="DB56" s="184"/>
      <c r="DC56" s="184"/>
      <c r="DD56" s="184"/>
      <c r="DE56" s="184"/>
      <c r="DF56" s="184"/>
      <c r="DG56" s="184"/>
      <c r="DH56" s="184"/>
      <c r="DI56" s="184"/>
      <c r="DJ56" s="184"/>
      <c r="DK56" s="184"/>
      <c r="DL56" s="184"/>
      <c r="DM56" s="184"/>
      <c r="DN56" s="184"/>
      <c r="DO56" s="184"/>
      <c r="DP56" s="184"/>
      <c r="DQ56" s="184"/>
      <c r="DR56" s="184"/>
      <c r="DS56" s="184"/>
      <c r="DT56" s="184"/>
      <c r="DU56" s="184"/>
      <c r="DV56" s="184"/>
      <c r="DW56" s="184"/>
      <c r="DX56" s="184"/>
      <c r="DY56" s="184"/>
      <c r="DZ56" s="184"/>
    </row>
    <row r="57" spans="1:130" ht="6.6" customHeight="1" x14ac:dyDescent="0.2">
      <c r="A57" s="184"/>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93"/>
      <c r="BP57" s="193"/>
      <c r="BQ57" s="193"/>
      <c r="BR57" s="193"/>
      <c r="BS57" s="193"/>
      <c r="BT57" s="193"/>
      <c r="BU57" s="193"/>
      <c r="BV57" s="193"/>
      <c r="BW57" s="184"/>
      <c r="BX57" s="184"/>
      <c r="BY57" s="184"/>
      <c r="BZ57" s="184"/>
      <c r="CA57" s="184"/>
      <c r="CB57" s="184"/>
      <c r="CC57" s="184"/>
      <c r="CD57" s="184"/>
      <c r="CE57" s="184"/>
      <c r="CF57" s="184"/>
      <c r="CG57" s="184"/>
      <c r="CH57" s="184"/>
      <c r="CI57" s="184"/>
      <c r="CJ57" s="184"/>
      <c r="CK57" s="184"/>
      <c r="CL57" s="184"/>
      <c r="CM57" s="184"/>
      <c r="CN57" s="184"/>
      <c r="CO57" s="184"/>
      <c r="CP57" s="184"/>
      <c r="CQ57" s="184"/>
      <c r="CR57" s="184"/>
      <c r="CS57" s="184"/>
      <c r="CT57" s="184"/>
      <c r="CU57" s="184"/>
      <c r="CV57" s="184"/>
      <c r="CW57" s="184"/>
      <c r="CX57" s="184"/>
      <c r="CY57" s="184"/>
      <c r="CZ57" s="184"/>
      <c r="DA57" s="184"/>
      <c r="DB57" s="184"/>
      <c r="DC57" s="184"/>
      <c r="DD57" s="184"/>
      <c r="DE57" s="184"/>
      <c r="DF57" s="184"/>
      <c r="DG57" s="184"/>
      <c r="DH57" s="184"/>
      <c r="DI57" s="184"/>
      <c r="DJ57" s="184"/>
      <c r="DK57" s="184"/>
      <c r="DL57" s="184"/>
      <c r="DM57" s="184"/>
      <c r="DN57" s="184"/>
      <c r="DO57" s="184"/>
      <c r="DP57" s="184"/>
      <c r="DQ57" s="184"/>
      <c r="DR57" s="184"/>
      <c r="DS57" s="184"/>
      <c r="DT57" s="184"/>
      <c r="DU57" s="184"/>
      <c r="DV57" s="184"/>
      <c r="DW57" s="184"/>
      <c r="DX57" s="184"/>
      <c r="DY57" s="184"/>
      <c r="DZ57" s="184"/>
    </row>
    <row r="58" spans="1:130" ht="14.1" customHeight="1" x14ac:dyDescent="0.2">
      <c r="A58" s="184"/>
      <c r="B58" s="190" t="s">
        <v>849</v>
      </c>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93"/>
      <c r="BP58" s="193"/>
      <c r="BQ58" s="193"/>
      <c r="BR58" s="193"/>
      <c r="BS58" s="193"/>
      <c r="BT58" s="193"/>
      <c r="BU58" s="193"/>
      <c r="BV58" s="193"/>
      <c r="BW58" s="184"/>
      <c r="BX58" s="184"/>
      <c r="BY58" s="184"/>
      <c r="BZ58" s="184"/>
      <c r="CA58" s="675"/>
      <c r="CB58" s="675"/>
      <c r="CC58" s="675"/>
      <c r="CD58" s="675"/>
      <c r="CE58" s="675"/>
      <c r="CF58" s="675"/>
      <c r="CG58" s="675"/>
      <c r="CH58" s="675"/>
      <c r="CI58" s="675"/>
      <c r="CJ58" s="675"/>
      <c r="CK58" s="675"/>
      <c r="CL58" s="675"/>
      <c r="CM58" s="675"/>
      <c r="CN58" s="675"/>
      <c r="CO58" s="675"/>
      <c r="CP58" s="675"/>
      <c r="CQ58" s="675"/>
      <c r="CR58" s="675"/>
      <c r="CS58" s="675"/>
      <c r="CT58" s="184"/>
      <c r="CU58" s="184"/>
      <c r="CV58" s="184"/>
      <c r="CW58" s="184"/>
      <c r="CX58" s="184"/>
      <c r="CY58" s="184"/>
      <c r="CZ58" s="184"/>
      <c r="DA58" s="184"/>
      <c r="DB58" s="184"/>
      <c r="DC58" s="184"/>
      <c r="DD58" s="184"/>
      <c r="DE58" s="184"/>
      <c r="DF58" s="184"/>
      <c r="DG58" s="184"/>
      <c r="DH58" s="184"/>
      <c r="DI58" s="184"/>
      <c r="DJ58" s="184"/>
      <c r="DK58" s="184"/>
      <c r="DL58" s="184"/>
      <c r="DM58" s="184"/>
      <c r="DN58" s="184"/>
      <c r="DO58" s="184"/>
      <c r="DP58" s="184"/>
      <c r="DQ58" s="184"/>
      <c r="DR58" s="184"/>
      <c r="DS58" s="184"/>
      <c r="DT58" s="184"/>
      <c r="DU58" s="184"/>
      <c r="DV58" s="184"/>
      <c r="DW58" s="184"/>
      <c r="DX58" s="184"/>
      <c r="DY58" s="184"/>
      <c r="DZ58" s="184"/>
    </row>
    <row r="59" spans="1:130" ht="3.2" customHeight="1" x14ac:dyDescent="0.2">
      <c r="A59" s="184"/>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93"/>
      <c r="BP59" s="193"/>
      <c r="BQ59" s="193"/>
      <c r="BR59" s="193"/>
      <c r="BS59" s="193"/>
      <c r="BT59" s="193"/>
      <c r="BU59" s="193"/>
      <c r="BV59" s="193"/>
      <c r="BW59" s="184"/>
      <c r="BX59" s="184"/>
      <c r="BY59" s="184"/>
      <c r="BZ59" s="184"/>
      <c r="CA59" s="184"/>
      <c r="CB59" s="184"/>
      <c r="CC59" s="184"/>
      <c r="CD59" s="184"/>
      <c r="CE59" s="184"/>
      <c r="CF59" s="195"/>
      <c r="CG59" s="184"/>
      <c r="CH59" s="184"/>
      <c r="CI59" s="184"/>
      <c r="CJ59" s="184"/>
      <c r="CK59" s="184"/>
      <c r="CL59" s="184"/>
      <c r="CM59" s="184"/>
      <c r="CN59" s="184"/>
      <c r="CO59" s="184"/>
      <c r="CP59" s="184"/>
      <c r="CQ59" s="184"/>
      <c r="CR59" s="184"/>
      <c r="CS59" s="184"/>
      <c r="CT59" s="184"/>
      <c r="CU59" s="184"/>
      <c r="CV59" s="184"/>
      <c r="CW59" s="184"/>
      <c r="CX59" s="184"/>
      <c r="CY59" s="184"/>
      <c r="CZ59" s="184"/>
      <c r="DA59" s="184"/>
      <c r="DB59" s="184"/>
      <c r="DC59" s="184"/>
      <c r="DD59" s="184"/>
      <c r="DE59" s="184"/>
      <c r="DF59" s="184"/>
      <c r="DG59" s="184"/>
      <c r="DH59" s="184"/>
      <c r="DI59" s="184"/>
      <c r="DJ59" s="184"/>
      <c r="DK59" s="184"/>
      <c r="DL59" s="184"/>
      <c r="DM59" s="184"/>
      <c r="DN59" s="184"/>
      <c r="DO59" s="184"/>
      <c r="DP59" s="184"/>
      <c r="DQ59" s="184"/>
      <c r="DR59" s="184"/>
      <c r="DS59" s="184"/>
      <c r="DT59" s="184"/>
      <c r="DU59" s="184"/>
      <c r="DV59" s="184"/>
      <c r="DW59" s="184"/>
      <c r="DX59" s="184"/>
      <c r="DY59" s="184"/>
      <c r="DZ59" s="184"/>
    </row>
    <row r="60" spans="1:130" ht="14.1" customHeight="1" x14ac:dyDescent="0.2">
      <c r="A60" s="184"/>
      <c r="B60" s="184" t="s">
        <v>850</v>
      </c>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637"/>
      <c r="AH60" s="638"/>
      <c r="AI60" s="638"/>
      <c r="AJ60" s="638"/>
      <c r="AK60" s="638"/>
      <c r="AL60" s="638"/>
      <c r="AM60" s="638"/>
      <c r="AN60" s="638"/>
      <c r="AO60" s="638"/>
      <c r="AP60" s="638"/>
      <c r="AQ60" s="639"/>
      <c r="AR60" s="184"/>
      <c r="AS60" s="184" t="s">
        <v>853</v>
      </c>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93"/>
      <c r="BP60" s="193"/>
      <c r="BQ60" s="193"/>
      <c r="BR60" s="193"/>
      <c r="BS60" s="193"/>
      <c r="BT60" s="193"/>
      <c r="BU60" s="193"/>
      <c r="BV60" s="193"/>
      <c r="BW60" s="184"/>
      <c r="BX60" s="184"/>
      <c r="BY60" s="184"/>
      <c r="BZ60" s="184"/>
      <c r="CA60" s="673"/>
      <c r="CB60" s="673"/>
      <c r="CC60" s="673"/>
      <c r="CD60" s="673"/>
      <c r="CE60" s="673"/>
      <c r="CF60" s="673"/>
      <c r="CG60" s="213"/>
      <c r="CH60" s="184"/>
      <c r="CI60" s="184"/>
      <c r="CJ60" s="184"/>
      <c r="CK60" s="184"/>
      <c r="CL60" s="184"/>
      <c r="CM60" s="184"/>
      <c r="CN60" s="184"/>
      <c r="CO60" s="184"/>
      <c r="CP60" s="184"/>
      <c r="CQ60" s="184"/>
      <c r="CR60" s="184"/>
      <c r="CS60" s="184"/>
      <c r="CT60" s="184"/>
      <c r="CU60" s="184"/>
      <c r="CV60" s="184"/>
      <c r="CW60" s="184"/>
      <c r="CX60" s="184"/>
      <c r="CY60" s="184"/>
      <c r="CZ60" s="184"/>
      <c r="DA60" s="184"/>
      <c r="DB60" s="184"/>
      <c r="DC60" s="184"/>
      <c r="DD60" s="184"/>
      <c r="DE60" s="184"/>
      <c r="DF60" s="184"/>
      <c r="DG60" s="184"/>
      <c r="DH60" s="184"/>
      <c r="DI60" s="184"/>
      <c r="DJ60" s="184"/>
      <c r="DK60" s="184"/>
      <c r="DL60" s="184"/>
      <c r="DM60" s="184"/>
      <c r="DN60" s="184"/>
      <c r="DO60" s="184"/>
      <c r="DP60" s="184"/>
      <c r="DQ60" s="184"/>
      <c r="DR60" s="184"/>
      <c r="DS60" s="184"/>
      <c r="DT60" s="184"/>
      <c r="DU60" s="184"/>
      <c r="DV60" s="184"/>
      <c r="DW60" s="184"/>
      <c r="DX60" s="184"/>
      <c r="DY60" s="184"/>
      <c r="DZ60" s="184"/>
    </row>
    <row r="61" spans="1:130" ht="6.6" customHeight="1" x14ac:dyDescent="0.2">
      <c r="A61" s="184"/>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93"/>
      <c r="BP61" s="193"/>
      <c r="BQ61" s="193"/>
      <c r="BR61" s="193"/>
      <c r="BS61" s="193"/>
      <c r="BT61" s="193"/>
      <c r="BU61" s="193"/>
      <c r="BV61" s="193"/>
      <c r="BW61" s="184"/>
      <c r="BX61" s="184"/>
      <c r="BY61" s="184"/>
      <c r="BZ61" s="184"/>
      <c r="CA61" s="184"/>
      <c r="CB61" s="184"/>
      <c r="CC61" s="184"/>
      <c r="CD61" s="184"/>
      <c r="CE61" s="184"/>
      <c r="CF61" s="184"/>
      <c r="CG61" s="184"/>
      <c r="CH61" s="184"/>
      <c r="CI61" s="184"/>
      <c r="CJ61" s="184"/>
      <c r="CK61" s="184"/>
      <c r="CL61" s="184"/>
      <c r="CM61" s="184"/>
      <c r="CN61" s="184"/>
      <c r="CO61" s="184"/>
      <c r="CP61" s="184"/>
      <c r="CQ61" s="184"/>
      <c r="CR61" s="184"/>
      <c r="CS61" s="184"/>
      <c r="CT61" s="184"/>
      <c r="CU61" s="184"/>
      <c r="CV61" s="184"/>
      <c r="CW61" s="184"/>
      <c r="CX61" s="184"/>
      <c r="CY61" s="184"/>
      <c r="CZ61" s="184"/>
      <c r="DA61" s="184"/>
      <c r="DB61" s="184"/>
      <c r="DC61" s="184"/>
      <c r="DD61" s="184"/>
      <c r="DE61" s="184"/>
      <c r="DF61" s="184"/>
      <c r="DG61" s="184"/>
      <c r="DH61" s="184"/>
      <c r="DI61" s="184"/>
      <c r="DJ61" s="184"/>
      <c r="DK61" s="184"/>
      <c r="DL61" s="184"/>
      <c r="DM61" s="184"/>
      <c r="DN61" s="184"/>
      <c r="DO61" s="184"/>
      <c r="DP61" s="184"/>
      <c r="DQ61" s="184"/>
      <c r="DR61" s="184"/>
      <c r="DS61" s="184"/>
      <c r="DT61" s="184"/>
      <c r="DU61" s="184"/>
      <c r="DV61" s="184"/>
      <c r="DW61" s="184"/>
      <c r="DX61" s="184"/>
      <c r="DY61" s="184"/>
      <c r="DZ61" s="184"/>
    </row>
    <row r="62" spans="1:130" ht="14.1" customHeight="1" x14ac:dyDescent="0.2">
      <c r="A62" s="184"/>
      <c r="B62" s="184" t="s">
        <v>911</v>
      </c>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637"/>
      <c r="AH62" s="638"/>
      <c r="AI62" s="638"/>
      <c r="AJ62" s="638"/>
      <c r="AK62" s="638"/>
      <c r="AL62" s="638"/>
      <c r="AM62" s="638"/>
      <c r="AN62" s="638"/>
      <c r="AO62" s="638"/>
      <c r="AP62" s="638"/>
      <c r="AQ62" s="639"/>
      <c r="AR62" s="184"/>
      <c r="AS62" s="184" t="s">
        <v>853</v>
      </c>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93"/>
      <c r="BP62" s="193"/>
      <c r="BQ62" s="193"/>
      <c r="BR62" s="193"/>
      <c r="BS62" s="193"/>
      <c r="BT62" s="193"/>
      <c r="BU62" s="193"/>
      <c r="BV62" s="193"/>
      <c r="BW62" s="184"/>
      <c r="BX62" s="184"/>
      <c r="BY62" s="184"/>
      <c r="BZ62" s="184"/>
      <c r="CA62" s="673"/>
      <c r="CB62" s="673"/>
      <c r="CC62" s="673"/>
      <c r="CD62" s="673"/>
      <c r="CE62" s="673"/>
      <c r="CF62" s="673"/>
      <c r="CG62" s="213"/>
      <c r="CH62" s="184"/>
      <c r="CI62" s="184"/>
      <c r="CJ62" s="184"/>
      <c r="CK62" s="184"/>
      <c r="CL62" s="184"/>
      <c r="CM62" s="184"/>
      <c r="CN62" s="184"/>
      <c r="CO62" s="184"/>
      <c r="CP62" s="184"/>
      <c r="CQ62" s="184"/>
      <c r="CR62" s="184"/>
      <c r="CS62" s="184"/>
      <c r="CT62" s="184"/>
      <c r="CU62" s="184"/>
      <c r="CV62" s="184"/>
      <c r="CW62" s="184"/>
      <c r="CX62" s="184"/>
      <c r="CY62" s="184"/>
      <c r="CZ62" s="184"/>
      <c r="DA62" s="184"/>
      <c r="DB62" s="184"/>
      <c r="DC62" s="184"/>
      <c r="DD62" s="184"/>
      <c r="DE62" s="184"/>
      <c r="DF62" s="184"/>
      <c r="DG62" s="184"/>
      <c r="DH62" s="184"/>
      <c r="DI62" s="184"/>
      <c r="DJ62" s="184"/>
      <c r="DK62" s="184"/>
      <c r="DL62" s="184"/>
      <c r="DM62" s="184"/>
      <c r="DN62" s="184"/>
      <c r="DO62" s="184"/>
      <c r="DP62" s="184"/>
      <c r="DQ62" s="184"/>
      <c r="DR62" s="184"/>
      <c r="DS62" s="184"/>
      <c r="DT62" s="184"/>
      <c r="DU62" s="184"/>
      <c r="DV62" s="184"/>
      <c r="DW62" s="184"/>
      <c r="DX62" s="184"/>
      <c r="DY62" s="184"/>
      <c r="DZ62" s="184"/>
    </row>
    <row r="63" spans="1:130" ht="6.6" customHeight="1" x14ac:dyDescent="0.2">
      <c r="A63" s="184"/>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93"/>
      <c r="BP63" s="193"/>
      <c r="BQ63" s="193"/>
      <c r="BR63" s="193"/>
      <c r="BS63" s="193"/>
      <c r="BT63" s="193"/>
      <c r="BU63" s="193"/>
      <c r="BV63" s="193"/>
      <c r="BW63" s="184"/>
      <c r="BX63" s="184"/>
      <c r="BY63" s="184"/>
      <c r="BZ63" s="184"/>
      <c r="CA63" s="184"/>
      <c r="CB63" s="184"/>
      <c r="CC63" s="184"/>
      <c r="CD63" s="184"/>
      <c r="CE63" s="184"/>
      <c r="CF63" s="184"/>
      <c r="CG63" s="184"/>
      <c r="CH63" s="184"/>
      <c r="CI63" s="184"/>
      <c r="CJ63" s="184"/>
      <c r="CK63" s="184"/>
      <c r="CL63" s="184"/>
      <c r="CM63" s="184"/>
      <c r="CN63" s="184"/>
      <c r="CO63" s="184"/>
      <c r="CP63" s="184"/>
      <c r="CQ63" s="184"/>
      <c r="CR63" s="184"/>
      <c r="CS63" s="184"/>
      <c r="CT63" s="184"/>
      <c r="CU63" s="184"/>
      <c r="CV63" s="184"/>
      <c r="CW63" s="184"/>
      <c r="CX63" s="184"/>
      <c r="CY63" s="184"/>
      <c r="CZ63" s="184"/>
      <c r="DA63" s="184"/>
      <c r="DB63" s="184"/>
      <c r="DC63" s="184"/>
      <c r="DD63" s="184"/>
      <c r="DE63" s="184"/>
      <c r="DF63" s="184"/>
      <c r="DG63" s="184"/>
      <c r="DH63" s="184"/>
      <c r="DI63" s="184"/>
      <c r="DJ63" s="184"/>
      <c r="DK63" s="184"/>
      <c r="DL63" s="184"/>
      <c r="DM63" s="184"/>
      <c r="DN63" s="184"/>
      <c r="DO63" s="184"/>
      <c r="DP63" s="184"/>
      <c r="DQ63" s="184"/>
      <c r="DR63" s="184"/>
      <c r="DS63" s="184"/>
      <c r="DT63" s="184"/>
      <c r="DU63" s="184"/>
      <c r="DV63" s="184"/>
      <c r="DW63" s="184"/>
      <c r="DX63" s="184"/>
      <c r="DY63" s="184"/>
      <c r="DZ63" s="184"/>
    </row>
    <row r="64" spans="1:130" ht="14.1" customHeight="1" x14ac:dyDescent="0.2">
      <c r="A64" s="184"/>
      <c r="B64" s="184" t="s">
        <v>851</v>
      </c>
      <c r="C64" s="184"/>
      <c r="D64" s="184"/>
      <c r="E64" s="184"/>
      <c r="F64" s="184"/>
      <c r="G64" s="184"/>
      <c r="H64" s="184"/>
      <c r="I64" s="184"/>
      <c r="J64" s="184"/>
      <c r="K64" s="184"/>
      <c r="L64" s="184"/>
      <c r="M64" s="184"/>
      <c r="N64" s="184"/>
      <c r="O64" s="184"/>
      <c r="P64" s="184"/>
      <c r="Q64" s="184"/>
      <c r="R64" s="184"/>
      <c r="S64" s="663"/>
      <c r="T64" s="664"/>
      <c r="U64" s="664"/>
      <c r="V64" s="664"/>
      <c r="W64" s="664"/>
      <c r="X64" s="664"/>
      <c r="Y64" s="664"/>
      <c r="Z64" s="664"/>
      <c r="AA64" s="664"/>
      <c r="AB64" s="664"/>
      <c r="AC64" s="664"/>
      <c r="AD64" s="664"/>
      <c r="AE64" s="665"/>
      <c r="AF64" s="184"/>
      <c r="AG64" s="637"/>
      <c r="AH64" s="638"/>
      <c r="AI64" s="638"/>
      <c r="AJ64" s="638"/>
      <c r="AK64" s="638"/>
      <c r="AL64" s="638"/>
      <c r="AM64" s="638"/>
      <c r="AN64" s="638"/>
      <c r="AO64" s="638"/>
      <c r="AP64" s="638"/>
      <c r="AQ64" s="639"/>
      <c r="AR64" s="184"/>
      <c r="AS64" s="184" t="s">
        <v>853</v>
      </c>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93"/>
      <c r="BP64" s="193"/>
      <c r="BQ64" s="193"/>
      <c r="BR64" s="193"/>
      <c r="BS64" s="193"/>
      <c r="BT64" s="193"/>
      <c r="BU64" s="193"/>
      <c r="BV64" s="193"/>
      <c r="BW64" s="184"/>
      <c r="BX64" s="184"/>
      <c r="BY64" s="184"/>
      <c r="BZ64" s="184"/>
      <c r="CA64" s="214"/>
      <c r="CB64" s="184"/>
      <c r="CC64" s="184"/>
      <c r="CD64" s="184"/>
      <c r="CE64" s="184"/>
      <c r="CF64" s="184"/>
      <c r="CG64" s="184"/>
      <c r="CH64" s="184"/>
      <c r="CI64" s="184"/>
      <c r="CJ64" s="184"/>
      <c r="CK64" s="184"/>
      <c r="CL64" s="184"/>
      <c r="CM64" s="184"/>
      <c r="CN64" s="184"/>
      <c r="CO64" s="184"/>
      <c r="CP64" s="184"/>
      <c r="CQ64" s="184"/>
      <c r="CR64" s="184"/>
      <c r="CS64" s="184"/>
      <c r="CT64" s="184"/>
      <c r="CU64" s="184"/>
      <c r="CV64" s="184"/>
      <c r="CW64" s="184"/>
      <c r="CX64" s="184"/>
      <c r="CY64" s="184"/>
      <c r="CZ64" s="184"/>
      <c r="DA64" s="184"/>
      <c r="DB64" s="184"/>
      <c r="DC64" s="184"/>
      <c r="DD64" s="184"/>
      <c r="DE64" s="184"/>
      <c r="DF64" s="184"/>
      <c r="DG64" s="184"/>
      <c r="DH64" s="184"/>
      <c r="DI64" s="184"/>
      <c r="DJ64" s="184"/>
      <c r="DK64" s="184"/>
      <c r="DL64" s="184"/>
      <c r="DM64" s="184"/>
      <c r="DN64" s="184"/>
      <c r="DO64" s="184"/>
      <c r="DP64" s="184"/>
      <c r="DQ64" s="184"/>
      <c r="DR64" s="184"/>
      <c r="DS64" s="184"/>
      <c r="DT64" s="184"/>
      <c r="DU64" s="184"/>
      <c r="DV64" s="184"/>
      <c r="DW64" s="184"/>
      <c r="DX64" s="184"/>
      <c r="DY64" s="184"/>
      <c r="DZ64" s="184"/>
    </row>
    <row r="65" spans="1:131" ht="6.6" customHeight="1" x14ac:dyDescent="0.2">
      <c r="A65" s="184"/>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93"/>
      <c r="BP65" s="193"/>
      <c r="BQ65" s="193"/>
      <c r="BR65" s="193"/>
      <c r="BS65" s="193"/>
      <c r="BT65" s="193"/>
      <c r="BU65" s="193"/>
      <c r="BV65" s="193"/>
      <c r="BW65" s="184"/>
      <c r="BX65" s="184"/>
      <c r="BY65" s="184"/>
      <c r="BZ65" s="184"/>
      <c r="CA65" s="184"/>
      <c r="CB65" s="184"/>
      <c r="CC65" s="184"/>
      <c r="CD65" s="184"/>
      <c r="CE65" s="184"/>
      <c r="CF65" s="184"/>
      <c r="CG65" s="184"/>
      <c r="CH65" s="184"/>
      <c r="CI65" s="184"/>
      <c r="CJ65" s="184"/>
      <c r="CK65" s="184"/>
      <c r="CL65" s="184"/>
      <c r="CM65" s="184"/>
      <c r="CN65" s="184"/>
      <c r="CO65" s="184"/>
      <c r="CP65" s="184"/>
      <c r="CQ65" s="184"/>
      <c r="CR65" s="184"/>
      <c r="CS65" s="184"/>
      <c r="CT65" s="184"/>
      <c r="CU65" s="184"/>
      <c r="CV65" s="184"/>
      <c r="CW65" s="184"/>
      <c r="CX65" s="184"/>
      <c r="CY65" s="184"/>
      <c r="CZ65" s="184"/>
      <c r="DA65" s="184"/>
      <c r="DB65" s="184"/>
      <c r="DC65" s="184"/>
      <c r="DD65" s="184"/>
      <c r="DE65" s="184"/>
      <c r="DF65" s="184"/>
      <c r="DG65" s="184"/>
      <c r="DH65" s="184"/>
      <c r="DI65" s="184"/>
      <c r="DJ65" s="184"/>
      <c r="DK65" s="184"/>
      <c r="DL65" s="184"/>
      <c r="DM65" s="184"/>
      <c r="DN65" s="184"/>
      <c r="DO65" s="184"/>
      <c r="DP65" s="184"/>
      <c r="DQ65" s="184"/>
      <c r="DR65" s="184"/>
      <c r="DS65" s="184"/>
      <c r="DT65" s="184"/>
      <c r="DU65" s="184"/>
      <c r="DV65" s="184"/>
      <c r="DW65" s="184"/>
      <c r="DX65" s="184"/>
      <c r="DY65" s="184"/>
      <c r="DZ65" s="184"/>
    </row>
    <row r="66" spans="1:131" ht="14.1" customHeight="1" x14ac:dyDescent="0.2">
      <c r="A66" s="184"/>
      <c r="B66" s="184" t="s">
        <v>851</v>
      </c>
      <c r="C66" s="184"/>
      <c r="D66" s="184"/>
      <c r="E66" s="184"/>
      <c r="F66" s="184"/>
      <c r="G66" s="184"/>
      <c r="H66" s="184"/>
      <c r="I66" s="184"/>
      <c r="J66" s="184"/>
      <c r="K66" s="184"/>
      <c r="L66" s="184"/>
      <c r="M66" s="184"/>
      <c r="N66" s="184"/>
      <c r="O66" s="184"/>
      <c r="P66" s="184"/>
      <c r="Q66" s="184"/>
      <c r="R66" s="184"/>
      <c r="S66" s="663"/>
      <c r="T66" s="664"/>
      <c r="U66" s="664"/>
      <c r="V66" s="664"/>
      <c r="W66" s="664"/>
      <c r="X66" s="664"/>
      <c r="Y66" s="664"/>
      <c r="Z66" s="664"/>
      <c r="AA66" s="664"/>
      <c r="AB66" s="664"/>
      <c r="AC66" s="664"/>
      <c r="AD66" s="664"/>
      <c r="AE66" s="665"/>
      <c r="AF66" s="184"/>
      <c r="AG66" s="637"/>
      <c r="AH66" s="638"/>
      <c r="AI66" s="638"/>
      <c r="AJ66" s="638"/>
      <c r="AK66" s="638"/>
      <c r="AL66" s="638"/>
      <c r="AM66" s="638"/>
      <c r="AN66" s="638"/>
      <c r="AO66" s="638"/>
      <c r="AP66" s="638"/>
      <c r="AQ66" s="639"/>
      <c r="AR66" s="184"/>
      <c r="AS66" s="184" t="s">
        <v>853</v>
      </c>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93"/>
      <c r="BP66" s="193"/>
      <c r="BQ66" s="193"/>
      <c r="BR66" s="193"/>
      <c r="BS66" s="193"/>
      <c r="BT66" s="193"/>
      <c r="BU66" s="193"/>
      <c r="BV66" s="193"/>
      <c r="BW66" s="184"/>
      <c r="BX66" s="184"/>
      <c r="BY66" s="184"/>
      <c r="BZ66" s="184"/>
      <c r="CA66" s="673"/>
      <c r="CB66" s="673"/>
      <c r="CC66" s="673"/>
      <c r="CD66" s="673"/>
      <c r="CE66" s="673"/>
      <c r="CF66" s="673"/>
      <c r="CG66" s="213"/>
      <c r="CH66" s="184"/>
      <c r="CI66" s="184"/>
      <c r="CJ66" s="184"/>
      <c r="CK66" s="184"/>
      <c r="CL66" s="184"/>
      <c r="CM66" s="184"/>
      <c r="CN66" s="184"/>
      <c r="CO66" s="184"/>
      <c r="CP66" s="184"/>
      <c r="CQ66" s="184"/>
      <c r="CR66" s="184"/>
      <c r="CS66" s="184"/>
      <c r="CT66" s="184"/>
      <c r="CU66" s="184"/>
      <c r="CV66" s="184"/>
      <c r="CW66" s="184"/>
      <c r="CX66" s="184"/>
      <c r="CY66" s="184"/>
      <c r="CZ66" s="184"/>
      <c r="DA66" s="184"/>
      <c r="DB66" s="184"/>
      <c r="DC66" s="184"/>
      <c r="DD66" s="184"/>
      <c r="DE66" s="184"/>
      <c r="DF66" s="184"/>
      <c r="DG66" s="184"/>
      <c r="DH66" s="184"/>
      <c r="DI66" s="184"/>
      <c r="DJ66" s="184"/>
      <c r="DK66" s="184"/>
      <c r="DL66" s="184"/>
      <c r="DM66" s="184"/>
      <c r="DN66" s="184"/>
      <c r="DO66" s="184"/>
      <c r="DP66" s="184"/>
      <c r="DQ66" s="184"/>
      <c r="DR66" s="184"/>
      <c r="DS66" s="184"/>
      <c r="DT66" s="184"/>
      <c r="DU66" s="184"/>
      <c r="DV66" s="184"/>
      <c r="DW66" s="184"/>
      <c r="DX66" s="184"/>
      <c r="DY66" s="184"/>
      <c r="DZ66" s="184"/>
    </row>
    <row r="67" spans="1:131" ht="6.6" customHeight="1" x14ac:dyDescent="0.2">
      <c r="A67" s="184"/>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93"/>
      <c r="BP67" s="193"/>
      <c r="BQ67" s="193"/>
      <c r="BR67" s="193"/>
      <c r="BS67" s="193"/>
      <c r="BT67" s="193"/>
      <c r="BU67" s="193"/>
      <c r="BV67" s="193"/>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84"/>
      <c r="DI67" s="184"/>
      <c r="DJ67" s="184"/>
      <c r="DK67" s="184"/>
      <c r="DL67" s="184"/>
      <c r="DM67" s="184"/>
      <c r="DN67" s="184"/>
      <c r="DO67" s="184"/>
      <c r="DP67" s="184"/>
      <c r="DQ67" s="184"/>
      <c r="DR67" s="184"/>
      <c r="DS67" s="184"/>
      <c r="DT67" s="184"/>
      <c r="DU67" s="184"/>
      <c r="DV67" s="184"/>
      <c r="DW67" s="184"/>
      <c r="DX67" s="184"/>
      <c r="DY67" s="184"/>
      <c r="DZ67" s="184"/>
    </row>
    <row r="68" spans="1:131" ht="14.1" customHeight="1" x14ac:dyDescent="0.25">
      <c r="A68" s="184"/>
      <c r="B68" s="215" t="s">
        <v>897</v>
      </c>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612">
        <f>Daten!D89</f>
        <v>0</v>
      </c>
      <c r="AH68" s="613"/>
      <c r="AI68" s="613"/>
      <c r="AJ68" s="613"/>
      <c r="AK68" s="613"/>
      <c r="AL68" s="613"/>
      <c r="AM68" s="613"/>
      <c r="AN68" s="613"/>
      <c r="AO68" s="613"/>
      <c r="AP68" s="613"/>
      <c r="AQ68" s="614"/>
      <c r="AR68" s="184"/>
      <c r="AS68" s="184" t="s">
        <v>853</v>
      </c>
      <c r="AT68" s="184"/>
      <c r="AU68" s="184"/>
      <c r="AV68" s="216"/>
      <c r="AW68" s="216"/>
      <c r="AX68" s="216"/>
      <c r="AY68" s="216"/>
      <c r="AZ68" s="216"/>
      <c r="BA68" s="216"/>
      <c r="BB68" s="216"/>
      <c r="BC68" s="216"/>
      <c r="BD68" s="216"/>
      <c r="BE68" s="217" t="str">
        <f>IF(Daten!K79&gt;0,"→","")</f>
        <v/>
      </c>
      <c r="BF68" s="216"/>
      <c r="BG68" s="216"/>
      <c r="BH68" s="216"/>
      <c r="BI68" s="216"/>
      <c r="BJ68" s="216"/>
      <c r="BK68" s="216"/>
      <c r="BL68" s="216"/>
      <c r="BM68" s="216"/>
      <c r="BN68" s="216"/>
      <c r="BO68" s="218"/>
      <c r="BP68" s="627" t="str">
        <f>IF(Daten!K79&gt;0,Daten!H89,"")</f>
        <v/>
      </c>
      <c r="BQ68" s="628"/>
      <c r="BR68" s="628"/>
      <c r="BS68" s="628"/>
      <c r="BT68" s="628"/>
      <c r="BU68" s="628"/>
      <c r="BV68" s="628"/>
      <c r="BW68" s="622" t="str">
        <f>IF(Daten!K79&gt;0,"€","")</f>
        <v/>
      </c>
      <c r="BX68" s="622"/>
      <c r="BY68" s="622"/>
      <c r="BZ68" s="184"/>
      <c r="CA68" s="674"/>
      <c r="CB68" s="674"/>
      <c r="CC68" s="674"/>
      <c r="CD68" s="674"/>
      <c r="CE68" s="674"/>
      <c r="CF68" s="674"/>
      <c r="CG68" s="213"/>
      <c r="CH68" s="184"/>
      <c r="CI68" s="184"/>
      <c r="CJ68" s="184"/>
      <c r="CK68" s="184"/>
      <c r="CL68" s="184"/>
      <c r="CM68" s="184"/>
      <c r="CN68" s="184"/>
      <c r="CO68" s="184"/>
      <c r="CP68" s="184"/>
      <c r="CQ68" s="184"/>
      <c r="CR68" s="184"/>
      <c r="CS68" s="184"/>
      <c r="CT68" s="184"/>
      <c r="CU68" s="184"/>
      <c r="CV68" s="184"/>
      <c r="CW68" s="184"/>
      <c r="CX68" s="184"/>
      <c r="CY68" s="184"/>
      <c r="CZ68" s="184"/>
      <c r="DA68" s="184"/>
      <c r="DB68" s="184"/>
      <c r="DC68" s="184"/>
      <c r="DD68" s="184"/>
      <c r="DE68" s="184"/>
      <c r="DF68" s="184"/>
      <c r="DG68" s="184"/>
      <c r="DH68" s="184"/>
      <c r="DI68" s="184"/>
      <c r="DJ68" s="184"/>
      <c r="DK68" s="184"/>
      <c r="DL68" s="184"/>
      <c r="DM68" s="184"/>
      <c r="DN68" s="184"/>
      <c r="DO68" s="184"/>
      <c r="DP68" s="184"/>
      <c r="DQ68" s="184"/>
      <c r="DR68" s="184"/>
      <c r="DS68" s="184"/>
      <c r="DT68" s="184"/>
      <c r="DU68" s="184"/>
      <c r="DV68" s="184"/>
      <c r="DW68" s="184"/>
      <c r="DX68" s="184"/>
      <c r="DY68" s="184"/>
      <c r="DZ68" s="184"/>
    </row>
    <row r="69" spans="1:131" ht="6.6" customHeight="1" x14ac:dyDescent="0.2">
      <c r="A69" s="184"/>
      <c r="B69" s="184"/>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4"/>
      <c r="AY69" s="184"/>
      <c r="AZ69" s="184"/>
      <c r="BA69" s="184"/>
      <c r="BB69" s="184"/>
      <c r="BC69" s="184"/>
      <c r="BD69" s="184"/>
      <c r="BE69" s="184"/>
      <c r="BF69" s="184"/>
      <c r="BG69" s="184"/>
      <c r="BH69" s="184"/>
      <c r="BI69" s="184"/>
      <c r="BJ69" s="184"/>
      <c r="BK69" s="184"/>
      <c r="BL69" s="184"/>
      <c r="BM69" s="184"/>
      <c r="BN69" s="184"/>
      <c r="BO69" s="193"/>
      <c r="BP69" s="193"/>
      <c r="BQ69" s="193"/>
      <c r="BR69" s="193"/>
      <c r="BS69" s="193"/>
      <c r="BT69" s="193"/>
      <c r="BU69" s="193"/>
      <c r="BV69" s="193"/>
      <c r="BW69" s="184"/>
      <c r="BX69" s="184"/>
      <c r="BY69" s="184"/>
      <c r="BZ69" s="184"/>
      <c r="CA69" s="184"/>
      <c r="CB69" s="184"/>
      <c r="CC69" s="184"/>
      <c r="CD69" s="184"/>
      <c r="CE69" s="184"/>
      <c r="CF69" s="184"/>
      <c r="CG69" s="184"/>
      <c r="CH69" s="184"/>
      <c r="CI69" s="184"/>
      <c r="CJ69" s="184"/>
      <c r="CK69" s="184"/>
      <c r="CL69" s="184"/>
      <c r="CM69" s="184"/>
      <c r="CN69" s="184"/>
      <c r="CO69" s="184"/>
      <c r="CP69" s="184"/>
      <c r="CQ69" s="184"/>
      <c r="CR69" s="184"/>
      <c r="CS69" s="184"/>
      <c r="CT69" s="184"/>
      <c r="CU69" s="184"/>
      <c r="CV69" s="184"/>
      <c r="CW69" s="184"/>
      <c r="CX69" s="184"/>
      <c r="CY69" s="184"/>
      <c r="CZ69" s="184"/>
      <c r="DA69" s="184"/>
      <c r="DB69" s="184"/>
      <c r="DC69" s="184"/>
      <c r="DD69" s="184"/>
      <c r="DE69" s="184"/>
      <c r="DF69" s="184"/>
      <c r="DG69" s="184"/>
      <c r="DH69" s="184"/>
      <c r="DI69" s="184"/>
      <c r="DJ69" s="184"/>
      <c r="DK69" s="184"/>
      <c r="DL69" s="184"/>
      <c r="DM69" s="184"/>
      <c r="DN69" s="184"/>
      <c r="DO69" s="184"/>
      <c r="DP69" s="184"/>
      <c r="DQ69" s="184"/>
      <c r="DR69" s="184"/>
      <c r="DS69" s="184"/>
      <c r="DT69" s="184"/>
      <c r="DU69" s="184"/>
      <c r="DV69" s="184"/>
      <c r="DW69" s="184"/>
      <c r="DX69" s="184"/>
      <c r="DY69" s="184"/>
      <c r="DZ69" s="184"/>
    </row>
    <row r="70" spans="1:131" ht="14.1" customHeight="1" x14ac:dyDescent="0.25">
      <c r="A70" s="184"/>
      <c r="B70" s="184" t="s">
        <v>858</v>
      </c>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637"/>
      <c r="AH70" s="638"/>
      <c r="AI70" s="638"/>
      <c r="AJ70" s="638"/>
      <c r="AK70" s="638"/>
      <c r="AL70" s="638"/>
      <c r="AM70" s="638"/>
      <c r="AN70" s="638"/>
      <c r="AO70" s="638"/>
      <c r="AP70" s="638"/>
      <c r="AQ70" s="639"/>
      <c r="AR70" s="184"/>
      <c r="AS70" s="184" t="s">
        <v>853</v>
      </c>
      <c r="AT70" s="184"/>
      <c r="AU70" s="184"/>
      <c r="AV70" s="184"/>
      <c r="AW70" s="184"/>
      <c r="AX70" s="184"/>
      <c r="AY70" s="184"/>
      <c r="AZ70" s="184"/>
      <c r="BA70" s="184"/>
      <c r="BB70" s="219"/>
      <c r="BC70" s="184"/>
      <c r="BD70" s="203" t="str">
        <f>IF(Daten!D61=0,"(Pflichtfeld)","")</f>
        <v>(Pflichtfeld)</v>
      </c>
      <c r="BE70" s="192" t="str">
        <f>IF(Daten!K79&gt;0,"→","")</f>
        <v/>
      </c>
      <c r="BF70" s="184"/>
      <c r="BG70" s="184"/>
      <c r="BH70" s="184"/>
      <c r="BI70" s="184"/>
      <c r="BJ70" s="184"/>
      <c r="BK70" s="184"/>
      <c r="BL70" s="184"/>
      <c r="BM70" s="184"/>
      <c r="BN70" s="184"/>
      <c r="BO70" s="193"/>
      <c r="BP70" s="627" t="str">
        <f>IF(Daten!K79&gt;0,Daten!H91,"")</f>
        <v/>
      </c>
      <c r="BQ70" s="628"/>
      <c r="BR70" s="628"/>
      <c r="BS70" s="628"/>
      <c r="BT70" s="628"/>
      <c r="BU70" s="628"/>
      <c r="BV70" s="628"/>
      <c r="BW70" s="622" t="str">
        <f>IF(Daten!K79&gt;0,"€","")</f>
        <v/>
      </c>
      <c r="BX70" s="622"/>
      <c r="BY70" s="622"/>
      <c r="BZ70" s="184"/>
      <c r="CA70" s="190"/>
      <c r="CB70" s="184"/>
      <c r="CC70" s="184"/>
      <c r="CD70" s="184"/>
      <c r="CE70" s="184"/>
      <c r="CF70" s="184"/>
      <c r="CG70" s="184"/>
      <c r="CH70" s="184"/>
      <c r="CI70" s="184"/>
      <c r="CJ70" s="184"/>
      <c r="CK70" s="184"/>
      <c r="CL70" s="184"/>
      <c r="CM70" s="184"/>
      <c r="CN70" s="184"/>
      <c r="CO70" s="184"/>
      <c r="CP70" s="184"/>
      <c r="CQ70" s="184"/>
      <c r="CR70" s="184"/>
      <c r="CS70" s="184"/>
      <c r="CT70" s="184"/>
      <c r="CU70" s="184"/>
      <c r="CV70" s="184"/>
      <c r="CW70" s="184"/>
      <c r="CX70" s="184"/>
      <c r="CY70" s="184"/>
      <c r="CZ70" s="184"/>
      <c r="DA70" s="184"/>
      <c r="DB70" s="184"/>
      <c r="DC70" s="184"/>
      <c r="DD70" s="184"/>
      <c r="DE70" s="184"/>
      <c r="DF70" s="184"/>
      <c r="DG70" s="184"/>
      <c r="DH70" s="184"/>
      <c r="DI70" s="184"/>
      <c r="DJ70" s="184"/>
      <c r="DK70" s="184"/>
      <c r="DL70" s="184"/>
      <c r="DM70" s="184"/>
      <c r="DN70" s="184"/>
      <c r="DO70" s="184"/>
      <c r="DP70" s="184"/>
      <c r="DQ70" s="184"/>
      <c r="DR70" s="184"/>
      <c r="DS70" s="184"/>
      <c r="DT70" s="184"/>
      <c r="DU70" s="184"/>
      <c r="DV70" s="184"/>
      <c r="DW70" s="184"/>
      <c r="DX70" s="184"/>
      <c r="DY70" s="184"/>
      <c r="DZ70" s="184"/>
    </row>
    <row r="71" spans="1:131" ht="6.6" customHeight="1" x14ac:dyDescent="0.2">
      <c r="A71" s="184"/>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220"/>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93"/>
      <c r="BP71" s="193"/>
      <c r="BQ71" s="193"/>
      <c r="BR71" s="193"/>
      <c r="BS71" s="193"/>
      <c r="BT71" s="193"/>
      <c r="BU71" s="193"/>
      <c r="BV71" s="193"/>
      <c r="BW71" s="184"/>
      <c r="BX71" s="184"/>
      <c r="BY71" s="184"/>
      <c r="BZ71" s="184"/>
      <c r="CA71" s="184"/>
      <c r="CB71" s="184"/>
      <c r="CC71" s="184"/>
      <c r="CD71" s="184"/>
      <c r="CE71" s="184"/>
      <c r="CF71" s="184"/>
      <c r="CG71" s="184"/>
      <c r="CH71" s="184"/>
      <c r="CI71" s="184"/>
      <c r="CJ71" s="184"/>
      <c r="CK71" s="184"/>
      <c r="CL71" s="184"/>
      <c r="CM71" s="184"/>
      <c r="CN71" s="184"/>
      <c r="CO71" s="184"/>
      <c r="CP71" s="184"/>
      <c r="CQ71" s="184"/>
      <c r="CR71" s="184"/>
      <c r="CS71" s="184"/>
      <c r="CT71" s="184"/>
      <c r="CU71" s="184"/>
      <c r="CV71" s="184"/>
      <c r="CW71" s="184"/>
      <c r="CX71" s="184"/>
      <c r="CY71" s="184"/>
      <c r="CZ71" s="184"/>
      <c r="DA71" s="184"/>
      <c r="DB71" s="184"/>
      <c r="DC71" s="184"/>
      <c r="DD71" s="184"/>
      <c r="DE71" s="184"/>
      <c r="DF71" s="184"/>
      <c r="DG71" s="184"/>
      <c r="DH71" s="184"/>
      <c r="DI71" s="184"/>
      <c r="DJ71" s="184"/>
      <c r="DK71" s="184"/>
      <c r="DL71" s="184"/>
      <c r="DM71" s="184"/>
      <c r="DN71" s="184"/>
      <c r="DO71" s="184"/>
      <c r="DP71" s="184"/>
      <c r="DQ71" s="184"/>
      <c r="DR71" s="184"/>
      <c r="DS71" s="184"/>
      <c r="DT71" s="184"/>
      <c r="DU71" s="184"/>
      <c r="DV71" s="184"/>
      <c r="DW71" s="184"/>
      <c r="DX71" s="184"/>
      <c r="DY71" s="184"/>
      <c r="DZ71" s="184"/>
    </row>
    <row r="72" spans="1:131" ht="14.1" customHeight="1" x14ac:dyDescent="0.25">
      <c r="A72" s="184"/>
      <c r="B72" s="215" t="s">
        <v>863</v>
      </c>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612">
        <f>Daten!D93</f>
        <v>0</v>
      </c>
      <c r="AH72" s="613"/>
      <c r="AI72" s="613"/>
      <c r="AJ72" s="613"/>
      <c r="AK72" s="613"/>
      <c r="AL72" s="613"/>
      <c r="AM72" s="613"/>
      <c r="AN72" s="613"/>
      <c r="AO72" s="613"/>
      <c r="AP72" s="613"/>
      <c r="AQ72" s="614"/>
      <c r="AR72" s="184"/>
      <c r="AS72" s="184" t="s">
        <v>853</v>
      </c>
      <c r="AT72" s="184"/>
      <c r="AU72" s="184"/>
      <c r="AV72" s="216"/>
      <c r="AW72" s="216"/>
      <c r="AX72" s="216"/>
      <c r="AY72" s="216"/>
      <c r="AZ72" s="216"/>
      <c r="BA72" s="216"/>
      <c r="BB72" s="216"/>
      <c r="BC72" s="216"/>
      <c r="BD72" s="216"/>
      <c r="BE72" s="217" t="str">
        <f>IF(Daten!K79&gt;0,"→","")</f>
        <v/>
      </c>
      <c r="BF72" s="216"/>
      <c r="BG72" s="216"/>
      <c r="BH72" s="216"/>
      <c r="BI72" s="216"/>
      <c r="BJ72" s="216"/>
      <c r="BK72" s="216"/>
      <c r="BL72" s="216"/>
      <c r="BM72" s="216"/>
      <c r="BN72" s="216"/>
      <c r="BO72" s="218"/>
      <c r="BP72" s="627" t="str">
        <f>IF(Daten!K79&gt;0,Daten!H93,"")</f>
        <v/>
      </c>
      <c r="BQ72" s="628"/>
      <c r="BR72" s="628"/>
      <c r="BS72" s="628"/>
      <c r="BT72" s="628"/>
      <c r="BU72" s="628"/>
      <c r="BV72" s="628"/>
      <c r="BW72" s="623" t="str">
        <f>IF(Daten!K79&gt;0,"€","")</f>
        <v/>
      </c>
      <c r="BX72" s="623"/>
      <c r="BY72" s="623"/>
      <c r="BZ72" s="184"/>
      <c r="CA72" s="184"/>
      <c r="CB72" s="184"/>
      <c r="CC72" s="184"/>
      <c r="CD72" s="184"/>
      <c r="CE72" s="184"/>
      <c r="CF72" s="184"/>
      <c r="CG72" s="184"/>
      <c r="CH72" s="184"/>
      <c r="CI72" s="184"/>
      <c r="CJ72" s="184"/>
      <c r="CK72" s="184"/>
      <c r="CL72" s="184"/>
      <c r="CM72" s="184"/>
      <c r="CN72" s="184"/>
      <c r="CO72" s="184"/>
      <c r="CP72" s="184"/>
      <c r="CQ72" s="184"/>
      <c r="CR72" s="184"/>
      <c r="CS72" s="184"/>
      <c r="CT72" s="184"/>
      <c r="CU72" s="184"/>
      <c r="CV72" s="184"/>
      <c r="CW72" s="184"/>
      <c r="CX72" s="184"/>
      <c r="CY72" s="184"/>
      <c r="CZ72" s="184"/>
      <c r="DA72" s="184"/>
      <c r="DB72" s="184"/>
      <c r="DC72" s="184"/>
      <c r="DD72" s="184"/>
      <c r="DE72" s="184"/>
      <c r="DF72" s="184"/>
      <c r="DG72" s="184"/>
      <c r="DH72" s="184"/>
      <c r="DI72" s="184"/>
      <c r="DJ72" s="184"/>
      <c r="DK72" s="184"/>
      <c r="DL72" s="184"/>
      <c r="DM72" s="184"/>
      <c r="DN72" s="184"/>
      <c r="DO72" s="184"/>
      <c r="DP72" s="184"/>
      <c r="DQ72" s="184"/>
      <c r="DR72" s="184"/>
      <c r="DS72" s="184"/>
      <c r="DT72" s="184"/>
      <c r="DU72" s="184"/>
      <c r="DV72" s="184"/>
      <c r="DW72" s="184"/>
      <c r="DX72" s="184"/>
      <c r="DY72" s="184"/>
      <c r="DZ72" s="184"/>
    </row>
    <row r="73" spans="1:131" ht="12.2" customHeight="1" x14ac:dyDescent="0.2">
      <c r="A73" s="184"/>
      <c r="B73" s="219"/>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221"/>
      <c r="AH73" s="221"/>
      <c r="AI73" s="221"/>
      <c r="AJ73" s="221"/>
      <c r="AK73" s="221"/>
      <c r="AL73" s="221"/>
      <c r="AM73" s="221"/>
      <c r="AN73" s="221"/>
      <c r="AO73" s="221"/>
      <c r="AP73" s="221"/>
      <c r="AQ73" s="221"/>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4"/>
      <c r="BV73" s="184"/>
      <c r="BW73" s="222"/>
      <c r="BX73" s="216"/>
      <c r="BY73" s="216"/>
      <c r="BZ73" s="184"/>
      <c r="CA73" s="184"/>
      <c r="CB73" s="184"/>
      <c r="CC73" s="184"/>
      <c r="CD73" s="184"/>
      <c r="CE73" s="184"/>
      <c r="CF73" s="184"/>
      <c r="CG73" s="184"/>
      <c r="CH73" s="184"/>
      <c r="CI73" s="184"/>
      <c r="CJ73" s="184"/>
      <c r="CK73" s="184"/>
      <c r="CL73" s="184"/>
      <c r="CM73" s="184"/>
      <c r="CN73" s="184"/>
      <c r="CO73" s="184"/>
      <c r="CP73" s="184"/>
      <c r="CQ73" s="184"/>
      <c r="CR73" s="184"/>
      <c r="CS73" s="184"/>
      <c r="CT73" s="184"/>
      <c r="CU73" s="184"/>
      <c r="CV73" s="184"/>
      <c r="CW73" s="184"/>
      <c r="CX73" s="184"/>
      <c r="CY73" s="184"/>
      <c r="CZ73" s="184"/>
      <c r="DA73" s="184"/>
      <c r="DB73" s="184"/>
      <c r="DC73" s="184"/>
      <c r="DD73" s="184"/>
      <c r="DE73" s="184"/>
      <c r="DF73" s="184"/>
      <c r="DG73" s="184"/>
      <c r="DH73" s="184"/>
      <c r="DI73" s="184"/>
      <c r="DJ73" s="184"/>
      <c r="DK73" s="184"/>
      <c r="DL73" s="184"/>
      <c r="DM73" s="184"/>
      <c r="DN73" s="184"/>
      <c r="DO73" s="184"/>
      <c r="DP73" s="184"/>
      <c r="DQ73" s="184"/>
      <c r="DR73" s="184"/>
      <c r="DS73" s="184"/>
      <c r="DT73" s="184"/>
      <c r="DU73" s="184"/>
      <c r="DV73" s="184"/>
      <c r="DW73" s="184"/>
      <c r="DX73" s="184"/>
      <c r="DY73" s="184"/>
      <c r="DZ73" s="184"/>
    </row>
    <row r="74" spans="1:131" ht="15" hidden="1" customHeight="1" x14ac:dyDescent="0.25">
      <c r="A74" s="184"/>
      <c r="B74" s="661" t="s">
        <v>898</v>
      </c>
      <c r="C74" s="661"/>
      <c r="D74" s="661"/>
      <c r="E74" s="661"/>
      <c r="F74" s="661"/>
      <c r="G74" s="661"/>
      <c r="H74" s="661"/>
      <c r="I74" s="661"/>
      <c r="J74" s="661"/>
      <c r="K74" s="661"/>
      <c r="L74" s="661"/>
      <c r="M74" s="661"/>
      <c r="N74" s="661"/>
      <c r="O74" s="661"/>
      <c r="P74" s="661"/>
      <c r="Q74" s="661"/>
      <c r="R74" s="661"/>
      <c r="S74" s="661"/>
      <c r="T74" s="661"/>
      <c r="U74" s="661"/>
      <c r="V74" s="661"/>
      <c r="W74" s="661"/>
      <c r="X74" s="661"/>
      <c r="Y74" s="661"/>
      <c r="Z74" s="661"/>
      <c r="AA74" s="661"/>
      <c r="AB74" s="661"/>
      <c r="AC74" s="661"/>
      <c r="AD74" s="661"/>
      <c r="AE74" s="661"/>
      <c r="AF74" s="661"/>
      <c r="AG74" s="661"/>
      <c r="AH74" s="661"/>
      <c r="AI74" s="661"/>
      <c r="AJ74" s="661"/>
      <c r="AK74" s="661"/>
      <c r="AL74" s="661"/>
      <c r="AM74" s="661"/>
      <c r="AN74" s="661"/>
      <c r="AO74" s="661"/>
      <c r="AP74" s="661"/>
      <c r="AQ74" s="661"/>
      <c r="AR74" s="661"/>
      <c r="AS74" s="661"/>
      <c r="AT74" s="661"/>
      <c r="AU74" s="661"/>
      <c r="AV74" s="661"/>
      <c r="AW74" s="661"/>
      <c r="AX74" s="661"/>
      <c r="AY74" s="661"/>
      <c r="AZ74" s="661"/>
      <c r="BA74" s="661"/>
      <c r="BB74" s="661"/>
      <c r="BC74" s="661"/>
      <c r="BD74" s="661"/>
      <c r="BE74" s="661"/>
      <c r="BF74" s="661"/>
      <c r="BG74" s="661"/>
      <c r="BH74" s="661"/>
      <c r="BI74" s="661"/>
      <c r="BJ74" s="661"/>
      <c r="BK74" s="661"/>
      <c r="BL74" s="661"/>
      <c r="BM74" s="661"/>
      <c r="BN74" s="661"/>
      <c r="BO74" s="661"/>
      <c r="BP74" s="661"/>
      <c r="BQ74" s="661"/>
      <c r="BR74" s="661"/>
      <c r="BS74" s="661"/>
      <c r="BT74" s="661"/>
      <c r="BU74" s="661"/>
      <c r="BV74" s="661"/>
      <c r="BW74" s="661"/>
      <c r="BX74" s="661"/>
      <c r="BY74" s="661"/>
      <c r="BZ74" s="184"/>
      <c r="CA74" s="184"/>
      <c r="CB74" s="184"/>
      <c r="CC74" s="184"/>
      <c r="CD74" s="184"/>
      <c r="CE74" s="184"/>
      <c r="CF74" s="184"/>
      <c r="CG74" s="184"/>
      <c r="CH74" s="184"/>
      <c r="CI74" s="184"/>
      <c r="CJ74" s="184"/>
      <c r="CK74" s="184"/>
      <c r="CL74" s="184"/>
      <c r="CM74" s="184"/>
      <c r="CN74" s="184"/>
      <c r="CO74" s="184"/>
      <c r="CP74" s="184"/>
      <c r="CQ74" s="184"/>
      <c r="CR74" s="184"/>
      <c r="CS74" s="184"/>
      <c r="CT74" s="184"/>
      <c r="CU74" s="184"/>
      <c r="CV74" s="184"/>
      <c r="CW74" s="184"/>
      <c r="CX74" s="184"/>
      <c r="CY74" s="184"/>
      <c r="CZ74" s="184"/>
      <c r="DA74" s="184"/>
      <c r="DB74" s="184"/>
      <c r="DC74" s="184"/>
      <c r="DD74" s="184"/>
      <c r="DE74" s="184"/>
      <c r="DF74" s="184"/>
      <c r="DG74" s="184"/>
      <c r="DH74" s="184"/>
      <c r="DI74" s="184"/>
      <c r="DJ74" s="184"/>
      <c r="DK74" s="184"/>
      <c r="DL74" s="184"/>
      <c r="DM74" s="184"/>
      <c r="DN74" s="184"/>
      <c r="DO74" s="184"/>
      <c r="DP74" s="184"/>
      <c r="DQ74" s="184"/>
      <c r="DR74" s="184"/>
      <c r="DS74" s="184"/>
      <c r="DT74" s="184"/>
      <c r="DU74" s="184"/>
      <c r="DV74" s="184"/>
      <c r="DW74" s="184"/>
      <c r="DX74" s="184"/>
      <c r="DY74" s="184"/>
      <c r="DZ74" s="184"/>
      <c r="EA74" s="224"/>
    </row>
    <row r="75" spans="1:131" ht="10.15" hidden="1" customHeight="1" x14ac:dyDescent="0.2">
      <c r="A75" s="184"/>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c r="BA75" s="189"/>
      <c r="BB75" s="189"/>
      <c r="BC75" s="189"/>
      <c r="BD75" s="189"/>
      <c r="BE75" s="189"/>
      <c r="BF75" s="189"/>
      <c r="BG75" s="189"/>
      <c r="BH75" s="189"/>
      <c r="BI75" s="189"/>
      <c r="BJ75" s="189"/>
      <c r="BK75" s="189"/>
      <c r="BL75" s="189"/>
      <c r="BM75" s="189"/>
      <c r="BN75" s="189"/>
      <c r="BO75" s="189"/>
      <c r="BP75" s="189"/>
      <c r="BQ75" s="189"/>
      <c r="BR75" s="189"/>
      <c r="BS75" s="189"/>
      <c r="BT75" s="189"/>
      <c r="BU75" s="189"/>
      <c r="BV75" s="189"/>
      <c r="BW75" s="189"/>
      <c r="BX75" s="189"/>
      <c r="BY75" s="189"/>
      <c r="BZ75" s="184"/>
      <c r="CA75" s="184"/>
      <c r="CB75" s="184"/>
      <c r="CC75" s="184"/>
      <c r="CD75" s="184"/>
      <c r="CE75" s="184"/>
      <c r="CF75" s="184"/>
      <c r="CG75" s="184"/>
      <c r="CH75" s="184"/>
      <c r="CI75" s="184"/>
      <c r="CJ75" s="184"/>
      <c r="CK75" s="184"/>
      <c r="CL75" s="184"/>
      <c r="CM75" s="184"/>
      <c r="CN75" s="184"/>
      <c r="CO75" s="184"/>
      <c r="CP75" s="184"/>
      <c r="CQ75" s="184"/>
      <c r="CR75" s="184"/>
      <c r="CS75" s="184"/>
      <c r="CT75" s="184"/>
      <c r="CU75" s="184"/>
      <c r="CV75" s="184"/>
      <c r="CW75" s="184"/>
      <c r="CX75" s="184"/>
      <c r="CY75" s="184"/>
      <c r="CZ75" s="184"/>
      <c r="DA75" s="184"/>
      <c r="DB75" s="184"/>
      <c r="DC75" s="184"/>
      <c r="DD75" s="184"/>
      <c r="DE75" s="184"/>
      <c r="DF75" s="184"/>
      <c r="DG75" s="184"/>
      <c r="DH75" s="184"/>
      <c r="DI75" s="184"/>
      <c r="DJ75" s="184"/>
      <c r="DK75" s="184"/>
      <c r="DL75" s="184"/>
      <c r="DM75" s="184"/>
      <c r="DN75" s="184"/>
      <c r="DO75" s="184"/>
      <c r="DP75" s="184"/>
      <c r="DQ75" s="184"/>
      <c r="DR75" s="184"/>
      <c r="DS75" s="184"/>
      <c r="DT75" s="184"/>
      <c r="DU75" s="184"/>
      <c r="DV75" s="184"/>
      <c r="DW75" s="184"/>
      <c r="DX75" s="184"/>
      <c r="DY75" s="184"/>
      <c r="DZ75" s="184"/>
      <c r="EA75" s="224"/>
    </row>
    <row r="76" spans="1:131" ht="12.2" hidden="1" customHeight="1" x14ac:dyDescent="0.2">
      <c r="A76" s="184"/>
      <c r="B76" s="184" t="s">
        <v>333</v>
      </c>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606" t="str">
        <f>Daten!B16</f>
        <v/>
      </c>
      <c r="AA76" s="607"/>
      <c r="AB76" s="607"/>
      <c r="AC76" s="607"/>
      <c r="AD76" s="607"/>
      <c r="AE76" s="607"/>
      <c r="AF76" s="607"/>
      <c r="AG76" s="607"/>
      <c r="AH76" s="607"/>
      <c r="AI76" s="607"/>
      <c r="AJ76" s="608"/>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184"/>
      <c r="CD76" s="184"/>
      <c r="CE76" s="184"/>
      <c r="CF76" s="184"/>
      <c r="CG76" s="184"/>
      <c r="CH76" s="184"/>
      <c r="CI76" s="184"/>
      <c r="CJ76" s="184"/>
      <c r="CK76" s="184"/>
      <c r="CL76" s="184"/>
      <c r="CM76" s="184"/>
      <c r="CN76" s="184"/>
      <c r="CO76" s="184"/>
      <c r="CP76" s="184"/>
      <c r="CQ76" s="184"/>
      <c r="CR76" s="184"/>
      <c r="CS76" s="184"/>
      <c r="CT76" s="184"/>
      <c r="CU76" s="184"/>
      <c r="CV76" s="184"/>
      <c r="CW76" s="184"/>
      <c r="CX76" s="184"/>
      <c r="CY76" s="184"/>
      <c r="CZ76" s="184"/>
      <c r="DA76" s="184"/>
      <c r="DB76" s="184"/>
      <c r="DC76" s="184"/>
      <c r="DD76" s="184"/>
      <c r="DE76" s="184"/>
      <c r="DF76" s="184"/>
      <c r="DG76" s="184"/>
      <c r="DH76" s="184"/>
      <c r="DI76" s="184"/>
      <c r="DJ76" s="184"/>
      <c r="DK76" s="184"/>
      <c r="DL76" s="184"/>
      <c r="DM76" s="184"/>
      <c r="DN76" s="184"/>
      <c r="DO76" s="184"/>
      <c r="DP76" s="184"/>
      <c r="DQ76" s="184"/>
      <c r="DR76" s="184"/>
      <c r="DS76" s="184"/>
      <c r="DT76" s="184"/>
      <c r="DU76" s="184"/>
      <c r="DV76" s="184"/>
      <c r="DW76" s="184"/>
      <c r="DX76" s="184"/>
      <c r="DY76" s="184"/>
      <c r="DZ76" s="184"/>
      <c r="EA76" s="224"/>
    </row>
    <row r="77" spans="1:131" ht="3.2" hidden="1" customHeight="1" x14ac:dyDescent="0.2">
      <c r="A77" s="184"/>
      <c r="B77" s="184"/>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184"/>
      <c r="BE77" s="184"/>
      <c r="BF77" s="184"/>
      <c r="BG77" s="184"/>
      <c r="BH77" s="184"/>
      <c r="BI77" s="184"/>
      <c r="BJ77" s="184"/>
      <c r="BK77" s="184"/>
      <c r="BL77" s="184"/>
      <c r="BM77" s="184"/>
      <c r="BN77" s="184"/>
      <c r="BO77" s="184"/>
      <c r="BP77" s="184"/>
      <c r="BQ77" s="184"/>
      <c r="BR77" s="184"/>
      <c r="BS77" s="184"/>
      <c r="BT77" s="184"/>
      <c r="BU77" s="184"/>
      <c r="BV77" s="184"/>
      <c r="BW77" s="184"/>
      <c r="BX77" s="184"/>
      <c r="BY77" s="184"/>
      <c r="BZ77" s="184"/>
      <c r="CA77" s="184"/>
      <c r="CB77" s="184"/>
      <c r="CC77" s="184"/>
      <c r="CD77" s="184"/>
      <c r="CE77" s="184"/>
      <c r="CF77" s="184"/>
      <c r="CG77" s="184"/>
      <c r="CH77" s="184"/>
      <c r="CI77" s="184"/>
      <c r="CJ77" s="184"/>
      <c r="CK77" s="184"/>
      <c r="CL77" s="184"/>
      <c r="CM77" s="184"/>
      <c r="CN77" s="184"/>
      <c r="CO77" s="184"/>
      <c r="CP77" s="184"/>
      <c r="CQ77" s="184"/>
      <c r="CR77" s="184"/>
      <c r="CS77" s="184"/>
      <c r="CT77" s="184"/>
      <c r="CU77" s="184"/>
      <c r="CV77" s="184"/>
      <c r="CW77" s="184"/>
      <c r="CX77" s="184"/>
      <c r="CY77" s="184"/>
      <c r="CZ77" s="184"/>
      <c r="DA77" s="184"/>
      <c r="DB77" s="184"/>
      <c r="DC77" s="184"/>
      <c r="DD77" s="184"/>
      <c r="DE77" s="184"/>
      <c r="DF77" s="184"/>
      <c r="DG77" s="184"/>
      <c r="DH77" s="184"/>
      <c r="DI77" s="184"/>
      <c r="DJ77" s="184"/>
      <c r="DK77" s="184"/>
      <c r="DL77" s="184"/>
      <c r="DM77" s="184"/>
      <c r="DN77" s="184"/>
      <c r="DO77" s="184"/>
      <c r="DP77" s="184"/>
      <c r="DQ77" s="184"/>
      <c r="DR77" s="184"/>
      <c r="DS77" s="184"/>
      <c r="DT77" s="184"/>
      <c r="DU77" s="184"/>
      <c r="DV77" s="184"/>
      <c r="DW77" s="184"/>
      <c r="DX77" s="184"/>
      <c r="DY77" s="184"/>
      <c r="DZ77" s="184"/>
      <c r="EA77" s="224"/>
    </row>
    <row r="78" spans="1:131" ht="12.2" hidden="1" customHeight="1" x14ac:dyDescent="0.2">
      <c r="A78" s="184"/>
      <c r="B78" s="184" t="s">
        <v>1056</v>
      </c>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640" t="e">
        <f>Daten!F285</f>
        <v>#N/A</v>
      </c>
      <c r="AA78" s="641"/>
      <c r="AB78" s="641"/>
      <c r="AC78" s="641"/>
      <c r="AD78" s="641"/>
      <c r="AE78" s="641"/>
      <c r="AF78" s="641"/>
      <c r="AG78" s="641"/>
      <c r="AH78" s="641"/>
      <c r="AI78" s="641"/>
      <c r="AJ78" s="642"/>
      <c r="AK78" s="184"/>
      <c r="AL78" s="184" t="s">
        <v>938</v>
      </c>
      <c r="AM78" s="184"/>
      <c r="AN78" s="184"/>
      <c r="AO78" s="184"/>
      <c r="AP78" s="184"/>
      <c r="AQ78" s="184"/>
      <c r="AR78" s="184"/>
      <c r="AS78" s="184"/>
      <c r="AT78" s="184"/>
      <c r="AU78" s="184"/>
      <c r="AV78" s="184"/>
      <c r="AW78" s="184"/>
      <c r="AX78" s="184"/>
      <c r="AY78" s="184"/>
      <c r="AZ78" s="184"/>
      <c r="BA78" s="184"/>
      <c r="BB78" s="184"/>
      <c r="BC78" s="184"/>
      <c r="BD78" s="184"/>
      <c r="BE78" s="184"/>
      <c r="BF78" s="184"/>
      <c r="BG78" s="184"/>
      <c r="BH78" s="184"/>
      <c r="BI78" s="184"/>
      <c r="BJ78" s="184"/>
      <c r="BK78" s="184"/>
      <c r="BL78" s="184"/>
      <c r="BM78" s="184"/>
      <c r="BN78" s="184"/>
      <c r="BO78" s="184"/>
      <c r="BP78" s="184"/>
      <c r="BQ78" s="184"/>
      <c r="BR78" s="184"/>
      <c r="BS78" s="184"/>
      <c r="BT78" s="184"/>
      <c r="BU78" s="184"/>
      <c r="BV78" s="184"/>
      <c r="BW78" s="184"/>
      <c r="BX78" s="184"/>
      <c r="BY78" s="184"/>
      <c r="BZ78" s="184"/>
      <c r="CA78" s="184"/>
      <c r="CB78" s="184"/>
      <c r="CC78" s="184"/>
      <c r="CD78" s="184"/>
      <c r="CE78" s="184"/>
      <c r="CF78" s="184"/>
      <c r="CG78" s="184"/>
      <c r="CH78" s="184"/>
      <c r="CI78" s="184"/>
      <c r="CJ78" s="184"/>
      <c r="CK78" s="184"/>
      <c r="CL78" s="184"/>
      <c r="CM78" s="184"/>
      <c r="CN78" s="184"/>
      <c r="CO78" s="184"/>
      <c r="CP78" s="184"/>
      <c r="CQ78" s="184"/>
      <c r="CR78" s="184"/>
      <c r="CS78" s="184"/>
      <c r="CT78" s="184"/>
      <c r="CU78" s="184"/>
      <c r="CV78" s="184"/>
      <c r="CW78" s="184"/>
      <c r="CX78" s="184"/>
      <c r="CY78" s="184"/>
      <c r="CZ78" s="184"/>
      <c r="DA78" s="184"/>
      <c r="DB78" s="184"/>
      <c r="DC78" s="184"/>
      <c r="DD78" s="184"/>
      <c r="DE78" s="184"/>
      <c r="DF78" s="184"/>
      <c r="DG78" s="184"/>
      <c r="DH78" s="184"/>
      <c r="DI78" s="184"/>
      <c r="DJ78" s="184"/>
      <c r="DK78" s="184"/>
      <c r="DL78" s="184"/>
      <c r="DM78" s="184"/>
      <c r="DN78" s="184"/>
      <c r="DO78" s="184"/>
      <c r="DP78" s="184"/>
      <c r="DQ78" s="184"/>
      <c r="DR78" s="184"/>
      <c r="DS78" s="184"/>
      <c r="DT78" s="184"/>
      <c r="DU78" s="184"/>
      <c r="DV78" s="184"/>
      <c r="DW78" s="184"/>
      <c r="DX78" s="184"/>
      <c r="DY78" s="184"/>
      <c r="DZ78" s="184"/>
      <c r="EA78" s="224"/>
    </row>
    <row r="79" spans="1:131" ht="3.2" hidden="1" customHeight="1" x14ac:dyDescent="0.2">
      <c r="A79" s="184"/>
      <c r="B79" s="184"/>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184"/>
      <c r="AY79" s="184"/>
      <c r="AZ79" s="184"/>
      <c r="BA79" s="184"/>
      <c r="BB79" s="184"/>
      <c r="BC79" s="184"/>
      <c r="BD79" s="184"/>
      <c r="BE79" s="184"/>
      <c r="BF79" s="184"/>
      <c r="BG79" s="184"/>
      <c r="BH79" s="184"/>
      <c r="BI79" s="184"/>
      <c r="BJ79" s="184"/>
      <c r="BK79" s="184"/>
      <c r="BL79" s="184"/>
      <c r="BM79" s="184"/>
      <c r="BN79" s="184"/>
      <c r="BO79" s="184"/>
      <c r="BP79" s="184"/>
      <c r="BQ79" s="184"/>
      <c r="BR79" s="184"/>
      <c r="BS79" s="184"/>
      <c r="BT79" s="184"/>
      <c r="BU79" s="184"/>
      <c r="BV79" s="184"/>
      <c r="BW79" s="184"/>
      <c r="BX79" s="184"/>
      <c r="BY79" s="184"/>
      <c r="BZ79" s="184"/>
      <c r="CA79" s="184"/>
      <c r="CB79" s="184"/>
      <c r="CC79" s="184"/>
      <c r="CD79" s="184"/>
      <c r="CE79" s="184"/>
      <c r="CF79" s="184"/>
      <c r="CG79" s="184"/>
      <c r="CH79" s="184"/>
      <c r="CI79" s="184"/>
      <c r="CJ79" s="184"/>
      <c r="CK79" s="184"/>
      <c r="CL79" s="184"/>
      <c r="CM79" s="184"/>
      <c r="CN79" s="184"/>
      <c r="CO79" s="184"/>
      <c r="CP79" s="184"/>
      <c r="CQ79" s="184"/>
      <c r="CR79" s="184"/>
      <c r="CS79" s="184"/>
      <c r="CT79" s="184"/>
      <c r="CU79" s="184"/>
      <c r="CV79" s="184"/>
      <c r="CW79" s="184"/>
      <c r="CX79" s="184"/>
      <c r="CY79" s="184"/>
      <c r="CZ79" s="184"/>
      <c r="DA79" s="184"/>
      <c r="DB79" s="184"/>
      <c r="DC79" s="184"/>
      <c r="DD79" s="184"/>
      <c r="DE79" s="184"/>
      <c r="DF79" s="184"/>
      <c r="DG79" s="184"/>
      <c r="DH79" s="184"/>
      <c r="DI79" s="184"/>
      <c r="DJ79" s="184"/>
      <c r="DK79" s="184"/>
      <c r="DL79" s="184"/>
      <c r="DM79" s="184"/>
      <c r="DN79" s="184"/>
      <c r="DO79" s="184"/>
      <c r="DP79" s="184"/>
      <c r="DQ79" s="184"/>
      <c r="DR79" s="184"/>
      <c r="DS79" s="184"/>
      <c r="DT79" s="184"/>
      <c r="DU79" s="184"/>
      <c r="DV79" s="184"/>
      <c r="DW79" s="184"/>
      <c r="DX79" s="184"/>
      <c r="DY79" s="184"/>
      <c r="DZ79" s="184"/>
      <c r="EA79" s="224"/>
    </row>
    <row r="80" spans="1:131" ht="12.2" hidden="1" customHeight="1" x14ac:dyDescent="0.2">
      <c r="A80" s="184"/>
      <c r="B80" s="184" t="s">
        <v>1057</v>
      </c>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648" t="e">
        <f>Daten!E183</f>
        <v>#N/A</v>
      </c>
      <c r="AA80" s="649"/>
      <c r="AB80" s="649"/>
      <c r="AC80" s="649"/>
      <c r="AD80" s="649"/>
      <c r="AE80" s="649"/>
      <c r="AF80" s="649"/>
      <c r="AG80" s="649"/>
      <c r="AH80" s="649"/>
      <c r="AI80" s="649"/>
      <c r="AJ80" s="650"/>
      <c r="AK80" s="184"/>
      <c r="AL80" s="184" t="s">
        <v>938</v>
      </c>
      <c r="AM80" s="184"/>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84"/>
      <c r="BK80" s="184"/>
      <c r="BL80" s="184"/>
      <c r="BM80" s="184"/>
      <c r="BN80" s="184"/>
      <c r="BO80" s="184"/>
      <c r="BP80" s="184"/>
      <c r="BQ80" s="184"/>
      <c r="BR80" s="184"/>
      <c r="BS80" s="184"/>
      <c r="BT80" s="184"/>
      <c r="BU80" s="184"/>
      <c r="BV80" s="184"/>
      <c r="BW80" s="184"/>
      <c r="BX80" s="184"/>
      <c r="BY80" s="184"/>
      <c r="BZ80" s="184"/>
      <c r="CA80" s="184"/>
      <c r="CB80" s="184"/>
      <c r="CC80" s="184"/>
      <c r="CD80" s="184"/>
      <c r="CE80" s="184"/>
      <c r="CF80" s="184"/>
      <c r="CG80" s="184"/>
      <c r="CH80" s="184"/>
      <c r="CI80" s="184"/>
      <c r="CJ80" s="184"/>
      <c r="CK80" s="184"/>
      <c r="CL80" s="184"/>
      <c r="CM80" s="184"/>
      <c r="CN80" s="184"/>
      <c r="CO80" s="184"/>
      <c r="CP80" s="184"/>
      <c r="CQ80" s="184"/>
      <c r="CR80" s="184"/>
      <c r="CS80" s="184"/>
      <c r="CT80" s="184"/>
      <c r="CU80" s="184"/>
      <c r="CV80" s="184"/>
      <c r="CW80" s="184"/>
      <c r="CX80" s="184"/>
      <c r="CY80" s="184"/>
      <c r="CZ80" s="184"/>
      <c r="DA80" s="184"/>
      <c r="DB80" s="184"/>
      <c r="DC80" s="184"/>
      <c r="DD80" s="184"/>
      <c r="DE80" s="184"/>
      <c r="DF80" s="184"/>
      <c r="DG80" s="184"/>
      <c r="DH80" s="184"/>
      <c r="DI80" s="184"/>
      <c r="DJ80" s="184"/>
      <c r="DK80" s="184"/>
      <c r="DL80" s="184"/>
      <c r="DM80" s="184"/>
      <c r="DN80" s="184"/>
      <c r="DO80" s="184"/>
      <c r="DP80" s="184"/>
      <c r="DQ80" s="184"/>
      <c r="DR80" s="184"/>
      <c r="DS80" s="184"/>
      <c r="DT80" s="184"/>
      <c r="DU80" s="184"/>
      <c r="DV80" s="184"/>
      <c r="DW80" s="184"/>
      <c r="DX80" s="184"/>
      <c r="DY80" s="184"/>
      <c r="DZ80" s="184"/>
      <c r="EA80" s="224"/>
    </row>
    <row r="81" spans="1:131" ht="3.2" hidden="1" customHeight="1" x14ac:dyDescent="0.2">
      <c r="A81" s="184"/>
      <c r="B81" s="184"/>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c r="AL81" s="184"/>
      <c r="AM81" s="184"/>
      <c r="AN81" s="184"/>
      <c r="AO81" s="184"/>
      <c r="AP81" s="184"/>
      <c r="AQ81" s="184"/>
      <c r="AR81" s="184"/>
      <c r="AS81" s="184"/>
      <c r="AT81" s="184"/>
      <c r="AU81" s="184"/>
      <c r="AV81" s="184"/>
      <c r="AW81" s="184"/>
      <c r="AX81" s="184"/>
      <c r="AY81" s="184"/>
      <c r="AZ81" s="184"/>
      <c r="BA81" s="184"/>
      <c r="BB81" s="184"/>
      <c r="BC81" s="184"/>
      <c r="BD81" s="184"/>
      <c r="BE81" s="184"/>
      <c r="BF81" s="184"/>
      <c r="BG81" s="184"/>
      <c r="BH81" s="184"/>
      <c r="BI81" s="184"/>
      <c r="BJ81" s="184"/>
      <c r="BK81" s="184"/>
      <c r="BL81" s="184"/>
      <c r="BM81" s="184"/>
      <c r="BN81" s="184"/>
      <c r="BO81" s="184"/>
      <c r="BP81" s="184"/>
      <c r="BQ81" s="184"/>
      <c r="BR81" s="184"/>
      <c r="BS81" s="184"/>
      <c r="BT81" s="184"/>
      <c r="BU81" s="184"/>
      <c r="BV81" s="184"/>
      <c r="BW81" s="184"/>
      <c r="BX81" s="184"/>
      <c r="BY81" s="184"/>
      <c r="BZ81" s="184"/>
      <c r="CA81" s="184"/>
      <c r="CB81" s="184"/>
      <c r="CC81" s="184"/>
      <c r="CD81" s="184"/>
      <c r="CE81" s="184"/>
      <c r="CF81" s="184"/>
      <c r="CG81" s="184"/>
      <c r="CH81" s="184"/>
      <c r="CI81" s="184"/>
      <c r="CJ81" s="184"/>
      <c r="CK81" s="184"/>
      <c r="CL81" s="184"/>
      <c r="CM81" s="184"/>
      <c r="CN81" s="184"/>
      <c r="CO81" s="184"/>
      <c r="CP81" s="184"/>
      <c r="CQ81" s="184"/>
      <c r="CR81" s="184"/>
      <c r="CS81" s="184"/>
      <c r="CT81" s="184"/>
      <c r="CU81" s="184"/>
      <c r="CV81" s="184"/>
      <c r="CW81" s="184"/>
      <c r="CX81" s="184"/>
      <c r="CY81" s="184"/>
      <c r="CZ81" s="184"/>
      <c r="DA81" s="184"/>
      <c r="DB81" s="184"/>
      <c r="DC81" s="184"/>
      <c r="DD81" s="184"/>
      <c r="DE81" s="184"/>
      <c r="DF81" s="184"/>
      <c r="DG81" s="184"/>
      <c r="DH81" s="184"/>
      <c r="DI81" s="184"/>
      <c r="DJ81" s="184"/>
      <c r="DK81" s="184"/>
      <c r="DL81" s="184"/>
      <c r="DM81" s="184"/>
      <c r="DN81" s="184"/>
      <c r="DO81" s="184"/>
      <c r="DP81" s="184"/>
      <c r="DQ81" s="184"/>
      <c r="DR81" s="184"/>
      <c r="DS81" s="184"/>
      <c r="DT81" s="184"/>
      <c r="DU81" s="184"/>
      <c r="DV81" s="184"/>
      <c r="DW81" s="184"/>
      <c r="DX81" s="184"/>
      <c r="DY81" s="184"/>
      <c r="DZ81" s="184"/>
      <c r="EA81" s="224"/>
    </row>
    <row r="82" spans="1:131" ht="12.2" hidden="1" customHeight="1" x14ac:dyDescent="0.2">
      <c r="A82" s="184"/>
      <c r="B82" s="184" t="s">
        <v>1058</v>
      </c>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609" t="str">
        <f>IF(Daten!C142=2,"Stufe 2",IF(Daten!C142=1,"Stufe 1",IF(Daten!C142=0,"kein Klimabonus","")))</f>
        <v>kein Klimabonus</v>
      </c>
      <c r="AA82" s="610"/>
      <c r="AB82" s="610"/>
      <c r="AC82" s="610"/>
      <c r="AD82" s="610"/>
      <c r="AE82" s="610"/>
      <c r="AF82" s="610"/>
      <c r="AG82" s="610"/>
      <c r="AH82" s="610"/>
      <c r="AI82" s="610"/>
      <c r="AJ82" s="611"/>
      <c r="AK82" s="184"/>
      <c r="AL82" s="184" t="s">
        <v>939</v>
      </c>
      <c r="AM82" s="184"/>
      <c r="AN82" s="184"/>
      <c r="AO82" s="184"/>
      <c r="AP82" s="184"/>
      <c r="AQ82" s="184"/>
      <c r="AR82" s="184"/>
      <c r="AS82" s="184"/>
      <c r="AT82" s="184"/>
      <c r="AU82" s="184"/>
      <c r="AV82" s="184"/>
      <c r="AW82" s="184"/>
      <c r="AX82" s="184"/>
      <c r="AY82" s="184"/>
      <c r="AZ82" s="184"/>
      <c r="BA82" s="184"/>
      <c r="BB82" s="184"/>
      <c r="BC82" s="184"/>
      <c r="BD82" s="184"/>
      <c r="BE82" s="184"/>
      <c r="BF82" s="184"/>
      <c r="BG82" s="184"/>
      <c r="BH82" s="184"/>
      <c r="BI82" s="184"/>
      <c r="BJ82" s="184"/>
      <c r="BK82" s="184"/>
      <c r="BL82" s="184"/>
      <c r="BM82" s="184"/>
      <c r="BN82" s="184"/>
      <c r="BO82" s="184"/>
      <c r="BP82" s="184"/>
      <c r="BQ82" s="184"/>
      <c r="BR82" s="184"/>
      <c r="BS82" s="184"/>
      <c r="BT82" s="184"/>
      <c r="BU82" s="184"/>
      <c r="BV82" s="184"/>
      <c r="BW82" s="184"/>
      <c r="BX82" s="184"/>
      <c r="BY82" s="184"/>
      <c r="BZ82" s="184"/>
      <c r="CA82" s="184"/>
      <c r="CB82" s="184"/>
      <c r="CC82" s="184"/>
      <c r="CD82" s="184"/>
      <c r="CE82" s="184"/>
      <c r="CF82" s="184"/>
      <c r="CG82" s="184"/>
      <c r="CH82" s="184"/>
      <c r="CI82" s="184"/>
      <c r="CJ82" s="184"/>
      <c r="CK82" s="184"/>
      <c r="CL82" s="184"/>
      <c r="CM82" s="184"/>
      <c r="CN82" s="184"/>
      <c r="CO82" s="184"/>
      <c r="CP82" s="184"/>
      <c r="CQ82" s="184"/>
      <c r="CR82" s="184"/>
      <c r="CS82" s="184"/>
      <c r="CT82" s="184"/>
      <c r="CU82" s="184"/>
      <c r="CV82" s="184"/>
      <c r="CW82" s="184"/>
      <c r="CX82" s="184"/>
      <c r="CY82" s="184"/>
      <c r="CZ82" s="184"/>
      <c r="DA82" s="184"/>
      <c r="DB82" s="184"/>
      <c r="DC82" s="184"/>
      <c r="DD82" s="184"/>
      <c r="DE82" s="184"/>
      <c r="DF82" s="184"/>
      <c r="DG82" s="184"/>
      <c r="DH82" s="184"/>
      <c r="DI82" s="184"/>
      <c r="DJ82" s="184"/>
      <c r="DK82" s="184"/>
      <c r="DL82" s="184"/>
      <c r="DM82" s="184"/>
      <c r="DN82" s="184"/>
      <c r="DO82" s="184"/>
      <c r="DP82" s="184"/>
      <c r="DQ82" s="184"/>
      <c r="DR82" s="184"/>
      <c r="DS82" s="184"/>
      <c r="DT82" s="184"/>
      <c r="DU82" s="184"/>
      <c r="DV82" s="184"/>
      <c r="DW82" s="184"/>
      <c r="DX82" s="184"/>
      <c r="DY82" s="184"/>
      <c r="DZ82" s="184"/>
      <c r="EA82" s="224"/>
    </row>
    <row r="83" spans="1:131" ht="10.15" hidden="1" customHeight="1" x14ac:dyDescent="0.2">
      <c r="A83" s="184"/>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89"/>
      <c r="BR83" s="189"/>
      <c r="BS83" s="189"/>
      <c r="BT83" s="189"/>
      <c r="BU83" s="189"/>
      <c r="BV83" s="189"/>
      <c r="BW83" s="189"/>
      <c r="BX83" s="189"/>
      <c r="BY83" s="189"/>
      <c r="BZ83" s="184"/>
      <c r="CA83" s="184"/>
      <c r="CB83" s="184"/>
      <c r="CC83" s="184"/>
      <c r="CD83" s="184"/>
      <c r="CE83" s="184"/>
      <c r="CF83" s="184"/>
      <c r="CG83" s="184"/>
      <c r="CH83" s="184"/>
      <c r="CI83" s="184"/>
      <c r="CJ83" s="184"/>
      <c r="CK83" s="184"/>
      <c r="CL83" s="184"/>
      <c r="CM83" s="184"/>
      <c r="CN83" s="184"/>
      <c r="CO83" s="184"/>
      <c r="CP83" s="184"/>
      <c r="CQ83" s="184"/>
      <c r="CR83" s="184"/>
      <c r="CS83" s="184"/>
      <c r="CT83" s="184"/>
      <c r="CU83" s="184"/>
      <c r="CV83" s="184"/>
      <c r="CW83" s="184"/>
      <c r="CX83" s="184"/>
      <c r="CY83" s="184"/>
      <c r="CZ83" s="184"/>
      <c r="DA83" s="184"/>
      <c r="DB83" s="184"/>
      <c r="DC83" s="184"/>
      <c r="DD83" s="184"/>
      <c r="DE83" s="184"/>
      <c r="DF83" s="184"/>
      <c r="DG83" s="184"/>
      <c r="DH83" s="184"/>
      <c r="DI83" s="184"/>
      <c r="DJ83" s="184"/>
      <c r="DK83" s="184"/>
      <c r="DL83" s="184"/>
      <c r="DM83" s="184"/>
      <c r="DN83" s="184"/>
      <c r="DO83" s="184"/>
      <c r="DP83" s="184"/>
      <c r="DQ83" s="184"/>
      <c r="DR83" s="184"/>
      <c r="DS83" s="184"/>
      <c r="DT83" s="184"/>
      <c r="DU83" s="184"/>
      <c r="DV83" s="184"/>
      <c r="DW83" s="184"/>
      <c r="DX83" s="184"/>
      <c r="DY83" s="184"/>
      <c r="DZ83" s="184"/>
      <c r="EA83" s="224"/>
    </row>
    <row r="84" spans="1:131" ht="15" hidden="1" customHeight="1" x14ac:dyDescent="0.2">
      <c r="A84" s="184"/>
      <c r="B84" s="338"/>
      <c r="C84" s="236"/>
      <c r="D84" s="236"/>
      <c r="E84" s="236"/>
      <c r="F84" s="236"/>
      <c r="G84" s="237"/>
      <c r="H84" s="237"/>
      <c r="I84" s="237"/>
      <c r="J84" s="237"/>
      <c r="K84" s="237"/>
      <c r="L84" s="237"/>
      <c r="M84" s="237"/>
      <c r="N84" s="237"/>
      <c r="O84" s="236"/>
      <c r="P84" s="662" t="s">
        <v>811</v>
      </c>
      <c r="Q84" s="662"/>
      <c r="R84" s="662"/>
      <c r="S84" s="662"/>
      <c r="T84" s="662"/>
      <c r="U84" s="662"/>
      <c r="V84" s="662"/>
      <c r="W84" s="237"/>
      <c r="X84" s="237"/>
      <c r="Y84" s="237"/>
      <c r="Z84" s="237"/>
      <c r="AA84" s="237"/>
      <c r="AB84" s="237"/>
      <c r="AC84" s="237"/>
      <c r="AD84" s="237"/>
      <c r="AE84" s="237"/>
      <c r="AF84" s="237"/>
      <c r="AG84" s="237"/>
      <c r="AH84" s="237"/>
      <c r="AI84" s="237"/>
      <c r="AJ84" s="237"/>
      <c r="AK84" s="237"/>
      <c r="AL84" s="238"/>
      <c r="AM84" s="186"/>
      <c r="AN84" s="186"/>
      <c r="AO84" s="235"/>
      <c r="AP84" s="236"/>
      <c r="AQ84" s="236"/>
      <c r="AR84" s="236"/>
      <c r="AS84" s="236"/>
      <c r="AT84" s="236"/>
      <c r="AU84" s="236"/>
      <c r="AV84" s="237"/>
      <c r="AW84" s="237"/>
      <c r="AX84" s="237"/>
      <c r="AY84" s="237"/>
      <c r="AZ84" s="237"/>
      <c r="BA84" s="237"/>
      <c r="BB84" s="237"/>
      <c r="BC84" s="662" t="s">
        <v>910</v>
      </c>
      <c r="BD84" s="662"/>
      <c r="BE84" s="662"/>
      <c r="BF84" s="662"/>
      <c r="BG84" s="662"/>
      <c r="BH84" s="662"/>
      <c r="BI84" s="662"/>
      <c r="BJ84" s="662"/>
      <c r="BK84" s="237"/>
      <c r="BL84" s="237"/>
      <c r="BM84" s="237"/>
      <c r="BN84" s="237"/>
      <c r="BO84" s="237"/>
      <c r="BP84" s="237"/>
      <c r="BQ84" s="237"/>
      <c r="BR84" s="237"/>
      <c r="BS84" s="237"/>
      <c r="BT84" s="237"/>
      <c r="BU84" s="237"/>
      <c r="BV84" s="237"/>
      <c r="BW84" s="237"/>
      <c r="BX84" s="237"/>
      <c r="BY84" s="238"/>
      <c r="BZ84" s="184"/>
      <c r="CA84" s="184"/>
      <c r="CB84" s="184"/>
      <c r="CC84" s="184"/>
      <c r="CD84" s="184"/>
      <c r="CE84" s="184"/>
      <c r="CF84" s="184"/>
      <c r="CG84" s="184"/>
      <c r="CH84" s="184"/>
      <c r="CI84" s="184"/>
      <c r="CJ84" s="184"/>
      <c r="CK84" s="184"/>
      <c r="CL84" s="184"/>
      <c r="CM84" s="184"/>
      <c r="CN84" s="184"/>
      <c r="CO84" s="184"/>
      <c r="CP84" s="184"/>
      <c r="CQ84" s="184"/>
      <c r="CR84" s="184"/>
      <c r="CS84" s="184"/>
      <c r="CT84" s="184"/>
      <c r="CU84" s="184"/>
      <c r="CV84" s="184"/>
      <c r="CW84" s="184"/>
      <c r="CX84" s="184"/>
      <c r="CY84" s="184"/>
      <c r="CZ84" s="184"/>
      <c r="DA84" s="184"/>
      <c r="DB84" s="184"/>
      <c r="DC84" s="184"/>
      <c r="DD84" s="184"/>
      <c r="DE84" s="184"/>
      <c r="DF84" s="184"/>
      <c r="DG84" s="184"/>
      <c r="DH84" s="184"/>
      <c r="DI84" s="184"/>
      <c r="DJ84" s="184"/>
      <c r="DK84" s="184"/>
      <c r="DL84" s="184"/>
      <c r="DM84" s="184"/>
      <c r="DN84" s="184"/>
      <c r="DO84" s="184"/>
      <c r="DP84" s="184"/>
      <c r="DQ84" s="184"/>
      <c r="DR84" s="184"/>
      <c r="DS84" s="184"/>
      <c r="DT84" s="184"/>
      <c r="DU84" s="184"/>
      <c r="DV84" s="184"/>
      <c r="DW84" s="184"/>
      <c r="DX84" s="184"/>
      <c r="DY84" s="184"/>
      <c r="DZ84" s="184"/>
      <c r="EA84" s="224"/>
    </row>
    <row r="85" spans="1:131" ht="6.95" hidden="1" customHeight="1" x14ac:dyDescent="0.2">
      <c r="A85" s="184"/>
      <c r="B85" s="239"/>
      <c r="C85" s="227"/>
      <c r="D85" s="227"/>
      <c r="E85" s="227"/>
      <c r="F85" s="227"/>
      <c r="G85" s="227"/>
      <c r="H85" s="227"/>
      <c r="I85" s="227"/>
      <c r="J85" s="227"/>
      <c r="K85" s="227"/>
      <c r="L85" s="227"/>
      <c r="M85" s="227"/>
      <c r="N85" s="225"/>
      <c r="O85" s="225"/>
      <c r="P85" s="225"/>
      <c r="Q85" s="225"/>
      <c r="R85" s="225"/>
      <c r="S85" s="225"/>
      <c r="T85" s="225"/>
      <c r="U85" s="225"/>
      <c r="V85" s="225"/>
      <c r="W85" s="227"/>
      <c r="X85" s="227"/>
      <c r="Y85" s="227"/>
      <c r="Z85" s="227"/>
      <c r="AA85" s="227"/>
      <c r="AB85" s="227"/>
      <c r="AC85" s="227"/>
      <c r="AD85" s="227"/>
      <c r="AE85" s="227"/>
      <c r="AF85" s="227"/>
      <c r="AG85" s="227"/>
      <c r="AH85" s="227"/>
      <c r="AI85" s="227"/>
      <c r="AJ85" s="227"/>
      <c r="AK85" s="227"/>
      <c r="AL85" s="240"/>
      <c r="AM85" s="186"/>
      <c r="AN85" s="186"/>
      <c r="AO85" s="239"/>
      <c r="AP85" s="227"/>
      <c r="AQ85" s="227"/>
      <c r="AR85" s="227"/>
      <c r="AS85" s="227"/>
      <c r="AT85" s="227"/>
      <c r="AU85" s="227"/>
      <c r="AV85" s="227"/>
      <c r="AW85" s="227"/>
      <c r="AX85" s="227"/>
      <c r="AY85" s="227"/>
      <c r="AZ85" s="227"/>
      <c r="BA85" s="227"/>
      <c r="BB85" s="227"/>
      <c r="BC85" s="227"/>
      <c r="BD85" s="227"/>
      <c r="BE85" s="227"/>
      <c r="BF85" s="227"/>
      <c r="BG85" s="227"/>
      <c r="BH85" s="227"/>
      <c r="BI85" s="227"/>
      <c r="BJ85" s="227"/>
      <c r="BK85" s="227"/>
      <c r="BL85" s="227"/>
      <c r="BM85" s="227"/>
      <c r="BN85" s="227"/>
      <c r="BO85" s="227"/>
      <c r="BP85" s="227"/>
      <c r="BQ85" s="227"/>
      <c r="BR85" s="227"/>
      <c r="BS85" s="227"/>
      <c r="BT85" s="227"/>
      <c r="BU85" s="227"/>
      <c r="BV85" s="227"/>
      <c r="BW85" s="227"/>
      <c r="BX85" s="227"/>
      <c r="BY85" s="240"/>
      <c r="BZ85" s="184"/>
      <c r="CA85" s="184"/>
      <c r="CB85" s="184"/>
      <c r="CC85" s="184"/>
      <c r="CD85" s="184"/>
      <c r="CE85" s="184"/>
      <c r="CF85" s="184"/>
      <c r="CG85" s="184"/>
      <c r="CH85" s="184"/>
      <c r="CI85" s="184"/>
      <c r="CJ85" s="184"/>
      <c r="CK85" s="184"/>
      <c r="CL85" s="184"/>
      <c r="CM85" s="184"/>
      <c r="CN85" s="184"/>
      <c r="CO85" s="184"/>
      <c r="CP85" s="184"/>
      <c r="CQ85" s="184"/>
      <c r="CR85" s="184"/>
      <c r="CS85" s="184"/>
      <c r="CT85" s="184"/>
      <c r="CU85" s="184"/>
      <c r="CV85" s="184"/>
      <c r="CW85" s="184"/>
      <c r="CX85" s="184"/>
      <c r="CY85" s="184"/>
      <c r="CZ85" s="184"/>
      <c r="DA85" s="184"/>
      <c r="DB85" s="184"/>
      <c r="DC85" s="184"/>
      <c r="DD85" s="184"/>
      <c r="DE85" s="184"/>
      <c r="DF85" s="184"/>
      <c r="DG85" s="184"/>
      <c r="DH85" s="184"/>
      <c r="DI85" s="184"/>
      <c r="DJ85" s="184"/>
      <c r="DK85" s="184"/>
      <c r="DL85" s="184"/>
      <c r="DM85" s="184"/>
      <c r="DN85" s="184"/>
      <c r="DO85" s="184"/>
      <c r="DP85" s="184"/>
      <c r="DQ85" s="184"/>
      <c r="DR85" s="184"/>
      <c r="DS85" s="184"/>
      <c r="DT85" s="184"/>
      <c r="DU85" s="184"/>
      <c r="DV85" s="184"/>
      <c r="DW85" s="184"/>
      <c r="DX85" s="184"/>
      <c r="DY85" s="184"/>
      <c r="DZ85" s="184"/>
      <c r="EA85" s="224"/>
    </row>
    <row r="86" spans="1:131" ht="12.2" hidden="1" customHeight="1" x14ac:dyDescent="0.2">
      <c r="A86" s="184"/>
      <c r="B86" s="241" t="s">
        <v>892</v>
      </c>
      <c r="C86" s="227"/>
      <c r="D86" s="227"/>
      <c r="E86" s="227"/>
      <c r="F86" s="227"/>
      <c r="G86" s="227"/>
      <c r="H86" s="227"/>
      <c r="I86" s="227"/>
      <c r="J86" s="227"/>
      <c r="K86" s="227"/>
      <c r="L86" s="227"/>
      <c r="M86" s="227"/>
      <c r="N86" s="227"/>
      <c r="O86" s="227"/>
      <c r="P86" s="227"/>
      <c r="Q86" s="227"/>
      <c r="R86" s="227"/>
      <c r="S86" s="227"/>
      <c r="T86" s="227"/>
      <c r="U86" s="227"/>
      <c r="V86" s="227"/>
      <c r="W86" s="227"/>
      <c r="X86" s="227"/>
      <c r="Y86" s="227"/>
      <c r="Z86" s="225"/>
      <c r="AA86" s="226"/>
      <c r="AB86" s="615" t="e">
        <f>Daten!E511</f>
        <v>#N/A</v>
      </c>
      <c r="AC86" s="615"/>
      <c r="AD86" s="615"/>
      <c r="AE86" s="615"/>
      <c r="AF86" s="615"/>
      <c r="AG86" s="615"/>
      <c r="AH86" s="615"/>
      <c r="AI86" s="615"/>
      <c r="AJ86" s="615"/>
      <c r="AK86" s="228" t="s">
        <v>853</v>
      </c>
      <c r="AL86" s="242"/>
      <c r="AM86" s="186"/>
      <c r="AN86" s="186"/>
      <c r="AO86" s="241" t="s">
        <v>895</v>
      </c>
      <c r="AP86" s="227"/>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5"/>
      <c r="BN86" s="226"/>
      <c r="BO86" s="615" t="e">
        <f>Daten!E515</f>
        <v>#N/A</v>
      </c>
      <c r="BP86" s="615"/>
      <c r="BQ86" s="615"/>
      <c r="BR86" s="615"/>
      <c r="BS86" s="615"/>
      <c r="BT86" s="615"/>
      <c r="BU86" s="615"/>
      <c r="BV86" s="615"/>
      <c r="BW86" s="615"/>
      <c r="BX86" s="226" t="s">
        <v>853</v>
      </c>
      <c r="BY86" s="240"/>
      <c r="BZ86" s="184"/>
      <c r="CA86" s="184"/>
      <c r="CB86" s="184"/>
      <c r="CC86" s="184"/>
      <c r="CD86" s="184"/>
      <c r="CE86" s="184"/>
      <c r="CF86" s="184"/>
      <c r="CG86" s="184"/>
      <c r="CH86" s="184"/>
      <c r="CI86" s="184"/>
      <c r="CJ86" s="184"/>
      <c r="CK86" s="184"/>
      <c r="CL86" s="184"/>
      <c r="CM86" s="184"/>
      <c r="CN86" s="184"/>
      <c r="CO86" s="184"/>
      <c r="CP86" s="184"/>
      <c r="CQ86" s="184"/>
      <c r="CR86" s="184"/>
      <c r="CS86" s="184"/>
      <c r="CT86" s="184"/>
      <c r="CU86" s="184"/>
      <c r="CV86" s="184"/>
      <c r="CW86" s="184"/>
      <c r="CX86" s="184"/>
      <c r="CY86" s="184"/>
      <c r="CZ86" s="184"/>
      <c r="DA86" s="184"/>
      <c r="DB86" s="184"/>
      <c r="DC86" s="184"/>
      <c r="DD86" s="184"/>
      <c r="DE86" s="184"/>
      <c r="DF86" s="184"/>
      <c r="DG86" s="184"/>
      <c r="DH86" s="184"/>
      <c r="DI86" s="184"/>
      <c r="DJ86" s="184"/>
      <c r="DK86" s="184"/>
      <c r="DL86" s="184"/>
      <c r="DM86" s="184"/>
      <c r="DN86" s="184"/>
      <c r="DO86" s="184"/>
      <c r="DP86" s="184"/>
      <c r="DQ86" s="184"/>
      <c r="DR86" s="184"/>
      <c r="DS86" s="184"/>
      <c r="DT86" s="184"/>
      <c r="DU86" s="184"/>
      <c r="DV86" s="184"/>
      <c r="DW86" s="184"/>
      <c r="DX86" s="184"/>
      <c r="DY86" s="184"/>
      <c r="DZ86" s="184"/>
      <c r="EA86" s="224"/>
    </row>
    <row r="87" spans="1:131" ht="2.1" hidden="1" customHeight="1" x14ac:dyDescent="0.2">
      <c r="A87" s="184"/>
      <c r="B87" s="239"/>
      <c r="C87" s="227"/>
      <c r="D87" s="227"/>
      <c r="E87" s="227"/>
      <c r="F87" s="227"/>
      <c r="G87" s="227"/>
      <c r="H87" s="227"/>
      <c r="I87" s="227"/>
      <c r="J87" s="227"/>
      <c r="K87" s="227"/>
      <c r="L87" s="227"/>
      <c r="M87" s="227"/>
      <c r="N87" s="227"/>
      <c r="O87" s="227"/>
      <c r="P87" s="227"/>
      <c r="Q87" s="227"/>
      <c r="R87" s="227"/>
      <c r="S87" s="227"/>
      <c r="T87" s="227"/>
      <c r="U87" s="227"/>
      <c r="V87" s="227"/>
      <c r="W87" s="227"/>
      <c r="X87" s="227"/>
      <c r="Y87" s="227"/>
      <c r="Z87" s="229"/>
      <c r="AA87" s="230"/>
      <c r="AB87" s="230"/>
      <c r="AC87" s="230"/>
      <c r="AD87" s="230"/>
      <c r="AE87" s="230"/>
      <c r="AF87" s="230"/>
      <c r="AG87" s="230"/>
      <c r="AH87" s="230"/>
      <c r="AI87" s="230"/>
      <c r="AJ87" s="230"/>
      <c r="AK87" s="231"/>
      <c r="AL87" s="242"/>
      <c r="AM87" s="186"/>
      <c r="AN87" s="186"/>
      <c r="AO87" s="239"/>
      <c r="AP87" s="227"/>
      <c r="AQ87" s="227"/>
      <c r="AR87" s="227"/>
      <c r="AS87" s="227"/>
      <c r="AT87" s="227"/>
      <c r="AU87" s="227"/>
      <c r="AV87" s="227"/>
      <c r="AW87" s="227"/>
      <c r="AX87" s="227"/>
      <c r="AY87" s="227"/>
      <c r="AZ87" s="227"/>
      <c r="BA87" s="227"/>
      <c r="BB87" s="227"/>
      <c r="BC87" s="227"/>
      <c r="BD87" s="227"/>
      <c r="BE87" s="227"/>
      <c r="BF87" s="227"/>
      <c r="BG87" s="227"/>
      <c r="BH87" s="227"/>
      <c r="BI87" s="227"/>
      <c r="BJ87" s="227"/>
      <c r="BK87" s="227"/>
      <c r="BL87" s="227"/>
      <c r="BM87" s="230"/>
      <c r="BN87" s="230"/>
      <c r="BO87" s="230"/>
      <c r="BP87" s="230"/>
      <c r="BQ87" s="230"/>
      <c r="BR87" s="230"/>
      <c r="BS87" s="230"/>
      <c r="BT87" s="230"/>
      <c r="BU87" s="230"/>
      <c r="BV87" s="230"/>
      <c r="BW87" s="230"/>
      <c r="BX87" s="227"/>
      <c r="BY87" s="240"/>
      <c r="BZ87" s="184"/>
      <c r="CA87" s="184"/>
      <c r="CB87" s="184"/>
      <c r="CC87" s="184"/>
      <c r="CD87" s="184"/>
      <c r="CE87" s="184"/>
      <c r="CF87" s="184"/>
      <c r="CG87" s="184"/>
      <c r="CH87" s="184"/>
      <c r="CI87" s="184"/>
      <c r="CJ87" s="184"/>
      <c r="CK87" s="184"/>
      <c r="CL87" s="184"/>
      <c r="CM87" s="184"/>
      <c r="CN87" s="184"/>
      <c r="CO87" s="184"/>
      <c r="CP87" s="184"/>
      <c r="CQ87" s="184"/>
      <c r="CR87" s="184"/>
      <c r="CS87" s="184"/>
      <c r="CT87" s="184"/>
      <c r="CU87" s="184"/>
      <c r="CV87" s="184"/>
      <c r="CW87" s="184"/>
      <c r="CX87" s="184"/>
      <c r="CY87" s="184"/>
      <c r="CZ87" s="184"/>
      <c r="DA87" s="184"/>
      <c r="DB87" s="184"/>
      <c r="DC87" s="184"/>
      <c r="DD87" s="184"/>
      <c r="DE87" s="184"/>
      <c r="DF87" s="184"/>
      <c r="DG87" s="184"/>
      <c r="DH87" s="184"/>
      <c r="DI87" s="184"/>
      <c r="DJ87" s="184"/>
      <c r="DK87" s="184"/>
      <c r="DL87" s="184"/>
      <c r="DM87" s="184"/>
      <c r="DN87" s="184"/>
      <c r="DO87" s="184"/>
      <c r="DP87" s="184"/>
      <c r="DQ87" s="184"/>
      <c r="DR87" s="184"/>
      <c r="DS87" s="184"/>
      <c r="DT87" s="184"/>
      <c r="DU87" s="184"/>
      <c r="DV87" s="184"/>
      <c r="DW87" s="184"/>
      <c r="DX87" s="184"/>
      <c r="DY87" s="184"/>
      <c r="DZ87" s="184"/>
      <c r="EA87" s="224"/>
    </row>
    <row r="88" spans="1:131" ht="10.15" hidden="1" customHeight="1" x14ac:dyDescent="0.2">
      <c r="A88" s="184"/>
      <c r="B88" s="243" t="str">
        <f>IF(Daten!D362=1,Daten!G506&amp;""&amp;TEXT(Daten!E512,"0,00")&amp;" "&amp;Daten!G507&amp;" "&amp;TEXT(Daten!E513,"0,00")&amp;" "&amp;Daten!G511,"")</f>
        <v/>
      </c>
      <c r="C88" s="227"/>
      <c r="D88" s="227"/>
      <c r="E88" s="227"/>
      <c r="F88" s="227"/>
      <c r="G88" s="227"/>
      <c r="H88" s="227"/>
      <c r="I88" s="227"/>
      <c r="J88" s="227"/>
      <c r="K88" s="227"/>
      <c r="L88" s="227"/>
      <c r="M88" s="227"/>
      <c r="N88" s="227"/>
      <c r="O88" s="227"/>
      <c r="P88" s="227"/>
      <c r="Q88" s="227"/>
      <c r="R88" s="227"/>
      <c r="S88" s="227"/>
      <c r="T88" s="227"/>
      <c r="U88" s="227"/>
      <c r="V88" s="227"/>
      <c r="W88" s="227"/>
      <c r="X88" s="227"/>
      <c r="Y88" s="227"/>
      <c r="Z88" s="225"/>
      <c r="AA88" s="225"/>
      <c r="AB88" s="225"/>
      <c r="AC88" s="225"/>
      <c r="AD88" s="225"/>
      <c r="AE88" s="225"/>
      <c r="AF88" s="225"/>
      <c r="AG88" s="225"/>
      <c r="AH88" s="225"/>
      <c r="AI88" s="225"/>
      <c r="AJ88" s="225"/>
      <c r="AK88" s="225"/>
      <c r="AL88" s="240"/>
      <c r="AM88" s="186"/>
      <c r="AN88" s="186"/>
      <c r="AO88" s="249" t="str">
        <f>IF(Daten!D362=1,Daten!G506&amp;""&amp;TEXT(Daten!E517,"0,00")&amp;" "&amp;Daten!G508&amp;" "&amp;TEXT(Daten!E518,"0,00")&amp;" "&amp;Daten!G511,"")</f>
        <v/>
      </c>
      <c r="AP88" s="227"/>
      <c r="AQ88" s="227"/>
      <c r="AR88" s="227"/>
      <c r="AS88" s="227"/>
      <c r="AT88" s="227"/>
      <c r="AU88" s="227"/>
      <c r="AV88" s="227"/>
      <c r="AW88" s="227"/>
      <c r="AX88" s="227"/>
      <c r="AY88" s="227"/>
      <c r="AZ88" s="227"/>
      <c r="BA88" s="227"/>
      <c r="BB88" s="227"/>
      <c r="BC88" s="227"/>
      <c r="BD88" s="227"/>
      <c r="BE88" s="227"/>
      <c r="BF88" s="227"/>
      <c r="BG88" s="227"/>
      <c r="BH88" s="227"/>
      <c r="BI88" s="227"/>
      <c r="BJ88" s="227"/>
      <c r="BK88" s="227"/>
      <c r="BL88" s="227"/>
      <c r="BM88" s="227"/>
      <c r="BN88" s="227"/>
      <c r="BO88" s="227"/>
      <c r="BP88" s="227"/>
      <c r="BQ88" s="227"/>
      <c r="BR88" s="227"/>
      <c r="BS88" s="227"/>
      <c r="BT88" s="227"/>
      <c r="BU88" s="227"/>
      <c r="BV88" s="227"/>
      <c r="BW88" s="227"/>
      <c r="BX88" s="227"/>
      <c r="BY88" s="240"/>
      <c r="BZ88" s="184"/>
      <c r="CA88" s="184"/>
      <c r="CB88" s="184"/>
      <c r="CC88" s="184"/>
      <c r="CD88" s="184"/>
      <c r="CE88" s="184"/>
      <c r="CF88" s="184"/>
      <c r="CG88" s="184"/>
      <c r="CH88" s="184"/>
      <c r="CI88" s="184"/>
      <c r="CJ88" s="184"/>
      <c r="CK88" s="184"/>
      <c r="CL88" s="184"/>
      <c r="CM88" s="184"/>
      <c r="CN88" s="184"/>
      <c r="CO88" s="184"/>
      <c r="CP88" s="184"/>
      <c r="CQ88" s="184"/>
      <c r="CR88" s="184"/>
      <c r="CS88" s="184"/>
      <c r="CT88" s="184"/>
      <c r="CU88" s="184"/>
      <c r="CV88" s="184"/>
      <c r="CW88" s="184"/>
      <c r="CX88" s="184"/>
      <c r="CY88" s="184"/>
      <c r="CZ88" s="184"/>
      <c r="DA88" s="184"/>
      <c r="DB88" s="184"/>
      <c r="DC88" s="184"/>
      <c r="DD88" s="184"/>
      <c r="DE88" s="184"/>
      <c r="DF88" s="184"/>
      <c r="DG88" s="184"/>
      <c r="DH88" s="184"/>
      <c r="DI88" s="184"/>
      <c r="DJ88" s="184"/>
      <c r="DK88" s="184"/>
      <c r="DL88" s="184"/>
      <c r="DM88" s="184"/>
      <c r="DN88" s="184"/>
      <c r="DO88" s="184"/>
      <c r="DP88" s="184"/>
      <c r="DQ88" s="184"/>
      <c r="DR88" s="184"/>
      <c r="DS88" s="184"/>
      <c r="DT88" s="184"/>
      <c r="DU88" s="184"/>
      <c r="DV88" s="184"/>
      <c r="DW88" s="184"/>
      <c r="DX88" s="184"/>
      <c r="DY88" s="184"/>
      <c r="DZ88" s="184"/>
      <c r="EA88" s="224"/>
    </row>
    <row r="89" spans="1:131" ht="6.95" hidden="1" customHeight="1" x14ac:dyDescent="0.2">
      <c r="A89" s="184"/>
      <c r="B89" s="239"/>
      <c r="C89" s="227"/>
      <c r="D89" s="227"/>
      <c r="E89" s="227"/>
      <c r="F89" s="227"/>
      <c r="G89" s="227"/>
      <c r="H89" s="227"/>
      <c r="I89" s="227"/>
      <c r="J89" s="227"/>
      <c r="K89" s="227"/>
      <c r="L89" s="227"/>
      <c r="M89" s="227"/>
      <c r="N89" s="227"/>
      <c r="O89" s="227"/>
      <c r="P89" s="227"/>
      <c r="Q89" s="227"/>
      <c r="R89" s="227"/>
      <c r="S89" s="227"/>
      <c r="T89" s="227"/>
      <c r="U89" s="227"/>
      <c r="V89" s="227"/>
      <c r="W89" s="227"/>
      <c r="X89" s="227"/>
      <c r="Y89" s="227"/>
      <c r="Z89" s="225"/>
      <c r="AA89" s="225"/>
      <c r="AB89" s="225"/>
      <c r="AC89" s="225"/>
      <c r="AD89" s="225"/>
      <c r="AE89" s="225"/>
      <c r="AF89" s="225"/>
      <c r="AG89" s="225"/>
      <c r="AH89" s="225"/>
      <c r="AI89" s="225"/>
      <c r="AJ89" s="225"/>
      <c r="AK89" s="227"/>
      <c r="AL89" s="240"/>
      <c r="AM89" s="186"/>
      <c r="AN89" s="186"/>
      <c r="AO89" s="239"/>
      <c r="AP89" s="227"/>
      <c r="AQ89" s="227"/>
      <c r="AR89" s="227"/>
      <c r="AS89" s="227"/>
      <c r="AT89" s="227"/>
      <c r="AU89" s="227"/>
      <c r="AV89" s="227"/>
      <c r="AW89" s="227"/>
      <c r="AX89" s="227"/>
      <c r="AY89" s="227"/>
      <c r="AZ89" s="227"/>
      <c r="BA89" s="227"/>
      <c r="BB89" s="227"/>
      <c r="BC89" s="227"/>
      <c r="BD89" s="227"/>
      <c r="BE89" s="227"/>
      <c r="BF89" s="227"/>
      <c r="BG89" s="227"/>
      <c r="BH89" s="227"/>
      <c r="BI89" s="227"/>
      <c r="BJ89" s="227"/>
      <c r="BK89" s="227"/>
      <c r="BL89" s="227"/>
      <c r="BM89" s="227"/>
      <c r="BN89" s="227"/>
      <c r="BO89" s="227"/>
      <c r="BP89" s="227"/>
      <c r="BQ89" s="227"/>
      <c r="BR89" s="227"/>
      <c r="BS89" s="227"/>
      <c r="BT89" s="227"/>
      <c r="BU89" s="227"/>
      <c r="BV89" s="227"/>
      <c r="BW89" s="227"/>
      <c r="BX89" s="227"/>
      <c r="BY89" s="240"/>
      <c r="BZ89" s="184"/>
      <c r="CA89" s="184"/>
      <c r="CB89" s="184"/>
      <c r="CC89" s="184"/>
      <c r="CD89" s="184"/>
      <c r="CE89" s="184"/>
      <c r="CF89" s="184"/>
      <c r="CG89" s="184"/>
      <c r="CH89" s="184"/>
      <c r="CI89" s="184"/>
      <c r="CJ89" s="184"/>
      <c r="CK89" s="184"/>
      <c r="CL89" s="184"/>
      <c r="CM89" s="184"/>
      <c r="CN89" s="184"/>
      <c r="CO89" s="184"/>
      <c r="CP89" s="184"/>
      <c r="CQ89" s="184"/>
      <c r="CR89" s="184"/>
      <c r="CS89" s="184"/>
      <c r="CT89" s="184"/>
      <c r="CU89" s="184"/>
      <c r="CV89" s="184"/>
      <c r="CW89" s="184"/>
      <c r="CX89" s="184"/>
      <c r="CY89" s="184"/>
      <c r="CZ89" s="184"/>
      <c r="DA89" s="184"/>
      <c r="DB89" s="184"/>
      <c r="DC89" s="184"/>
      <c r="DD89" s="184"/>
      <c r="DE89" s="184"/>
      <c r="DF89" s="184"/>
      <c r="DG89" s="184"/>
      <c r="DH89" s="184"/>
      <c r="DI89" s="184"/>
      <c r="DJ89" s="184"/>
      <c r="DK89" s="184"/>
      <c r="DL89" s="184"/>
      <c r="DM89" s="184"/>
      <c r="DN89" s="184"/>
      <c r="DO89" s="184"/>
      <c r="DP89" s="184"/>
      <c r="DQ89" s="184"/>
      <c r="DR89" s="184"/>
      <c r="DS89" s="184"/>
      <c r="DT89" s="184"/>
      <c r="DU89" s="184"/>
      <c r="DV89" s="184"/>
      <c r="DW89" s="184"/>
      <c r="DX89" s="184"/>
      <c r="DY89" s="184"/>
      <c r="DZ89" s="184"/>
      <c r="EA89" s="224"/>
    </row>
    <row r="90" spans="1:131" ht="12.2" hidden="1" customHeight="1" x14ac:dyDescent="0.2">
      <c r="A90" s="184"/>
      <c r="B90" s="241" t="s">
        <v>902</v>
      </c>
      <c r="C90" s="227"/>
      <c r="D90" s="227"/>
      <c r="E90" s="227"/>
      <c r="F90" s="227"/>
      <c r="G90" s="227"/>
      <c r="H90" s="227"/>
      <c r="I90" s="227"/>
      <c r="J90" s="227"/>
      <c r="K90" s="227"/>
      <c r="L90" s="227"/>
      <c r="M90" s="227"/>
      <c r="N90" s="227"/>
      <c r="O90" s="227"/>
      <c r="P90" s="227"/>
      <c r="Q90" s="227"/>
      <c r="R90" s="227"/>
      <c r="S90" s="227"/>
      <c r="T90" s="227"/>
      <c r="U90" s="227"/>
      <c r="V90" s="227"/>
      <c r="W90" s="227"/>
      <c r="X90" s="227"/>
      <c r="Y90" s="225"/>
      <c r="Z90" s="615">
        <f>Daten!E504</f>
        <v>0</v>
      </c>
      <c r="AA90" s="616"/>
      <c r="AB90" s="616"/>
      <c r="AC90" s="616"/>
      <c r="AD90" s="616"/>
      <c r="AE90" s="616"/>
      <c r="AF90" s="616"/>
      <c r="AG90" s="616"/>
      <c r="AH90" s="616"/>
      <c r="AI90" s="616"/>
      <c r="AJ90" s="616"/>
      <c r="AK90" s="228" t="s">
        <v>853</v>
      </c>
      <c r="AL90" s="240"/>
      <c r="AM90" s="186"/>
      <c r="AN90" s="186"/>
      <c r="AO90" s="241" t="s">
        <v>880</v>
      </c>
      <c r="AP90" s="227"/>
      <c r="AQ90" s="227"/>
      <c r="AR90" s="227"/>
      <c r="AS90" s="227"/>
      <c r="AT90" s="227"/>
      <c r="AU90" s="227"/>
      <c r="AV90" s="227"/>
      <c r="AW90" s="227"/>
      <c r="AX90" s="227"/>
      <c r="AY90" s="227"/>
      <c r="AZ90" s="227"/>
      <c r="BA90" s="227"/>
      <c r="BB90" s="227"/>
      <c r="BC90" s="227"/>
      <c r="BD90" s="227"/>
      <c r="BE90" s="227"/>
      <c r="BF90" s="227"/>
      <c r="BG90" s="227"/>
      <c r="BH90" s="227"/>
      <c r="BI90" s="227"/>
      <c r="BJ90" s="227"/>
      <c r="BK90" s="227"/>
      <c r="BL90" s="227"/>
      <c r="BM90" s="615">
        <f>Daten!E509</f>
        <v>0</v>
      </c>
      <c r="BN90" s="616"/>
      <c r="BO90" s="616"/>
      <c r="BP90" s="616"/>
      <c r="BQ90" s="616"/>
      <c r="BR90" s="616"/>
      <c r="BS90" s="616"/>
      <c r="BT90" s="616"/>
      <c r="BU90" s="616"/>
      <c r="BV90" s="616"/>
      <c r="BW90" s="616"/>
      <c r="BX90" s="232" t="s">
        <v>853</v>
      </c>
      <c r="BY90" s="250"/>
      <c r="BZ90" s="184"/>
      <c r="CA90" s="184"/>
      <c r="CB90" s="184"/>
      <c r="CC90" s="184"/>
      <c r="CD90" s="184"/>
      <c r="CE90" s="184"/>
      <c r="CF90" s="184"/>
      <c r="CG90" s="184"/>
      <c r="CH90" s="184"/>
      <c r="CI90" s="184"/>
      <c r="CJ90" s="184"/>
      <c r="CK90" s="184"/>
      <c r="CL90" s="184"/>
      <c r="CM90" s="184"/>
      <c r="CN90" s="184"/>
      <c r="CO90" s="184"/>
      <c r="CP90" s="184"/>
      <c r="CQ90" s="184"/>
      <c r="CR90" s="184"/>
      <c r="CS90" s="184"/>
      <c r="CT90" s="184"/>
      <c r="CU90" s="184"/>
      <c r="CV90" s="184"/>
      <c r="CW90" s="184"/>
      <c r="CX90" s="184"/>
      <c r="CY90" s="184"/>
      <c r="CZ90" s="184"/>
      <c r="DA90" s="184"/>
      <c r="DB90" s="184"/>
      <c r="DC90" s="184"/>
      <c r="DD90" s="184"/>
      <c r="DE90" s="184"/>
      <c r="DF90" s="184"/>
      <c r="DG90" s="184"/>
      <c r="DH90" s="184"/>
      <c r="DI90" s="184"/>
      <c r="DJ90" s="184"/>
      <c r="DK90" s="184"/>
      <c r="DL90" s="184"/>
      <c r="DM90" s="184"/>
      <c r="DN90" s="184"/>
      <c r="DO90" s="184"/>
      <c r="DP90" s="184"/>
      <c r="DQ90" s="184"/>
      <c r="DR90" s="184"/>
      <c r="DS90" s="184"/>
      <c r="DT90" s="184"/>
      <c r="DU90" s="184"/>
      <c r="DV90" s="184"/>
      <c r="DW90" s="184"/>
      <c r="DX90" s="184"/>
      <c r="DY90" s="184"/>
      <c r="DZ90" s="184"/>
      <c r="EA90" s="224"/>
    </row>
    <row r="91" spans="1:131" ht="2.1" hidden="1" customHeight="1" x14ac:dyDescent="0.2">
      <c r="A91" s="184"/>
      <c r="B91" s="239"/>
      <c r="C91" s="227"/>
      <c r="D91" s="227"/>
      <c r="E91" s="227"/>
      <c r="F91" s="227"/>
      <c r="G91" s="227"/>
      <c r="H91" s="227"/>
      <c r="I91" s="227"/>
      <c r="J91" s="227"/>
      <c r="K91" s="227"/>
      <c r="L91" s="227"/>
      <c r="M91" s="227"/>
      <c r="N91" s="227"/>
      <c r="O91" s="227"/>
      <c r="P91" s="227"/>
      <c r="Q91" s="227"/>
      <c r="R91" s="227"/>
      <c r="S91" s="227"/>
      <c r="T91" s="227"/>
      <c r="U91" s="227"/>
      <c r="V91" s="227"/>
      <c r="W91" s="227"/>
      <c r="X91" s="227"/>
      <c r="Y91" s="225"/>
      <c r="Z91" s="233"/>
      <c r="AA91" s="234"/>
      <c r="AB91" s="234"/>
      <c r="AC91" s="234"/>
      <c r="AD91" s="234"/>
      <c r="AE91" s="234"/>
      <c r="AF91" s="234"/>
      <c r="AG91" s="234"/>
      <c r="AH91" s="234"/>
      <c r="AI91" s="234"/>
      <c r="AJ91" s="234"/>
      <c r="AK91" s="231"/>
      <c r="AL91" s="240"/>
      <c r="AM91" s="186"/>
      <c r="AN91" s="186"/>
      <c r="AO91" s="239"/>
      <c r="AP91" s="227"/>
      <c r="AQ91" s="227"/>
      <c r="AR91" s="227"/>
      <c r="AS91" s="227"/>
      <c r="AT91" s="227"/>
      <c r="AU91" s="227"/>
      <c r="AV91" s="227"/>
      <c r="AW91" s="227"/>
      <c r="AX91" s="227"/>
      <c r="AY91" s="227"/>
      <c r="AZ91" s="227"/>
      <c r="BA91" s="227"/>
      <c r="BB91" s="227"/>
      <c r="BC91" s="227"/>
      <c r="BD91" s="227"/>
      <c r="BE91" s="227"/>
      <c r="BF91" s="227"/>
      <c r="BG91" s="227"/>
      <c r="BH91" s="227"/>
      <c r="BI91" s="227"/>
      <c r="BJ91" s="227"/>
      <c r="BK91" s="227"/>
      <c r="BL91" s="227"/>
      <c r="BM91" s="233"/>
      <c r="BN91" s="234"/>
      <c r="BO91" s="234"/>
      <c r="BP91" s="234"/>
      <c r="BQ91" s="234"/>
      <c r="BR91" s="234"/>
      <c r="BS91" s="234"/>
      <c r="BT91" s="234"/>
      <c r="BU91" s="234"/>
      <c r="BV91" s="234"/>
      <c r="BW91" s="234"/>
      <c r="BX91" s="225"/>
      <c r="BY91" s="240"/>
      <c r="BZ91" s="184"/>
      <c r="CA91" s="184"/>
      <c r="CB91" s="184"/>
      <c r="CC91" s="184"/>
      <c r="CD91" s="184"/>
      <c r="CE91" s="184"/>
      <c r="CF91" s="184"/>
      <c r="CG91" s="184"/>
      <c r="CH91" s="184"/>
      <c r="CI91" s="184"/>
      <c r="CJ91" s="184"/>
      <c r="CK91" s="184"/>
      <c r="CL91" s="184"/>
      <c r="CM91" s="184"/>
      <c r="CN91" s="184"/>
      <c r="CO91" s="184"/>
      <c r="CP91" s="184"/>
      <c r="CQ91" s="184"/>
      <c r="CR91" s="184"/>
      <c r="CS91" s="184"/>
      <c r="CT91" s="184"/>
      <c r="CU91" s="184"/>
      <c r="CV91" s="184"/>
      <c r="CW91" s="184"/>
      <c r="CX91" s="184"/>
      <c r="CY91" s="184"/>
      <c r="CZ91" s="184"/>
      <c r="DA91" s="184"/>
      <c r="DB91" s="184"/>
      <c r="DC91" s="184"/>
      <c r="DD91" s="184"/>
      <c r="DE91" s="184"/>
      <c r="DF91" s="184"/>
      <c r="DG91" s="184"/>
      <c r="DH91" s="184"/>
      <c r="DI91" s="184"/>
      <c r="DJ91" s="184"/>
      <c r="DK91" s="184"/>
      <c r="DL91" s="184"/>
      <c r="DM91" s="184"/>
      <c r="DN91" s="184"/>
      <c r="DO91" s="184"/>
      <c r="DP91" s="184"/>
      <c r="DQ91" s="184"/>
      <c r="DR91" s="184"/>
      <c r="DS91" s="184"/>
      <c r="DT91" s="184"/>
      <c r="DU91" s="184"/>
      <c r="DV91" s="184"/>
      <c r="DW91" s="184"/>
      <c r="DX91" s="184"/>
      <c r="DY91" s="184"/>
      <c r="DZ91" s="184"/>
      <c r="EA91" s="224"/>
    </row>
    <row r="92" spans="1:131" ht="12.2" hidden="1" customHeight="1" x14ac:dyDescent="0.2">
      <c r="A92" s="184"/>
      <c r="B92" s="241" t="s">
        <v>879</v>
      </c>
      <c r="C92" s="227"/>
      <c r="D92" s="227"/>
      <c r="E92" s="227"/>
      <c r="F92" s="227"/>
      <c r="G92" s="227"/>
      <c r="H92" s="227"/>
      <c r="I92" s="227"/>
      <c r="J92" s="227"/>
      <c r="K92" s="227"/>
      <c r="L92" s="227"/>
      <c r="M92" s="227"/>
      <c r="N92" s="227"/>
      <c r="O92" s="227"/>
      <c r="P92" s="227"/>
      <c r="Q92" s="227"/>
      <c r="R92" s="227"/>
      <c r="S92" s="227"/>
      <c r="T92" s="227"/>
      <c r="U92" s="227"/>
      <c r="V92" s="227"/>
      <c r="W92" s="227"/>
      <c r="X92" s="227"/>
      <c r="Y92" s="227"/>
      <c r="Z92" s="615">
        <f>Daten!E505</f>
        <v>0</v>
      </c>
      <c r="AA92" s="616"/>
      <c r="AB92" s="616"/>
      <c r="AC92" s="616"/>
      <c r="AD92" s="616"/>
      <c r="AE92" s="616"/>
      <c r="AF92" s="616"/>
      <c r="AG92" s="616"/>
      <c r="AH92" s="616"/>
      <c r="AI92" s="616"/>
      <c r="AJ92" s="616"/>
      <c r="AK92" s="226" t="s">
        <v>853</v>
      </c>
      <c r="AL92" s="240"/>
      <c r="AM92" s="186"/>
      <c r="AN92" s="186"/>
      <c r="AO92" s="251" t="str">
        <f>IF(Daten!J362=1,Daten!G506&amp;""&amp;TEXT(Daten!E507,"0,00")&amp;" "&amp;Daten!G518&amp;" "&amp;TEXT(Daten!E508,"0,00")&amp;" "&amp;Daten!G519,"")</f>
        <v/>
      </c>
      <c r="AP92" s="227"/>
      <c r="AQ92" s="227"/>
      <c r="AR92" s="227"/>
      <c r="AS92" s="227"/>
      <c r="AT92" s="227"/>
      <c r="AU92" s="227"/>
      <c r="AV92" s="227"/>
      <c r="AW92" s="227"/>
      <c r="AX92" s="227"/>
      <c r="AY92" s="227"/>
      <c r="AZ92" s="227"/>
      <c r="BA92" s="227"/>
      <c r="BB92" s="227"/>
      <c r="BC92" s="227"/>
      <c r="BD92" s="227"/>
      <c r="BE92" s="227"/>
      <c r="BF92" s="227"/>
      <c r="BG92" s="227"/>
      <c r="BH92" s="227"/>
      <c r="BI92" s="227"/>
      <c r="BJ92" s="227"/>
      <c r="BK92" s="227"/>
      <c r="BL92" s="227"/>
      <c r="BM92" s="227"/>
      <c r="BN92" s="227"/>
      <c r="BO92" s="227"/>
      <c r="BP92" s="227"/>
      <c r="BQ92" s="227"/>
      <c r="BR92" s="227"/>
      <c r="BS92" s="227"/>
      <c r="BT92" s="227"/>
      <c r="BU92" s="227"/>
      <c r="BV92" s="227"/>
      <c r="BW92" s="227"/>
      <c r="BX92" s="227"/>
      <c r="BY92" s="240"/>
      <c r="BZ92" s="184"/>
      <c r="CA92" s="184"/>
      <c r="CB92" s="184"/>
      <c r="CC92" s="184"/>
      <c r="CD92" s="184"/>
      <c r="CE92" s="184"/>
      <c r="CF92" s="184"/>
      <c r="CG92" s="184"/>
      <c r="CH92" s="184"/>
      <c r="CI92" s="184"/>
      <c r="CJ92" s="184"/>
      <c r="CK92" s="184"/>
      <c r="CL92" s="184"/>
      <c r="CM92" s="184"/>
      <c r="CN92" s="184"/>
      <c r="CO92" s="184"/>
      <c r="CP92" s="184"/>
      <c r="CQ92" s="184"/>
      <c r="CR92" s="184"/>
      <c r="CS92" s="184"/>
      <c r="CT92" s="184"/>
      <c r="CU92" s="184"/>
      <c r="CV92" s="184"/>
      <c r="CW92" s="184"/>
      <c r="CX92" s="184"/>
      <c r="CY92" s="184"/>
      <c r="CZ92" s="184"/>
      <c r="DA92" s="184"/>
      <c r="DB92" s="184"/>
      <c r="DC92" s="184"/>
      <c r="DD92" s="184"/>
      <c r="DE92" s="184"/>
      <c r="DF92" s="184"/>
      <c r="DG92" s="184"/>
      <c r="DH92" s="184"/>
      <c r="DI92" s="184"/>
      <c r="DJ92" s="184"/>
      <c r="DK92" s="184"/>
      <c r="DL92" s="184"/>
      <c r="DM92" s="184"/>
      <c r="DN92" s="184"/>
      <c r="DO92" s="184"/>
      <c r="DP92" s="184"/>
      <c r="DQ92" s="184"/>
      <c r="DR92" s="184"/>
      <c r="DS92" s="184"/>
      <c r="DT92" s="184"/>
      <c r="DU92" s="184"/>
      <c r="DV92" s="184"/>
      <c r="DW92" s="184"/>
      <c r="DX92" s="184"/>
      <c r="DY92" s="184"/>
      <c r="DZ92" s="184"/>
      <c r="EA92" s="224"/>
    </row>
    <row r="93" spans="1:131" ht="6.95" hidden="1" customHeight="1" x14ac:dyDescent="0.2">
      <c r="A93" s="184"/>
      <c r="B93" s="244"/>
      <c r="C93" s="245"/>
      <c r="D93" s="245"/>
      <c r="E93" s="245"/>
      <c r="F93" s="245"/>
      <c r="G93" s="245"/>
      <c r="H93" s="245"/>
      <c r="I93" s="245"/>
      <c r="J93" s="245"/>
      <c r="K93" s="245"/>
      <c r="L93" s="245"/>
      <c r="M93" s="245"/>
      <c r="N93" s="245"/>
      <c r="O93" s="245"/>
      <c r="P93" s="245"/>
      <c r="Q93" s="245"/>
      <c r="R93" s="245"/>
      <c r="S93" s="245"/>
      <c r="T93" s="245"/>
      <c r="U93" s="245"/>
      <c r="V93" s="245"/>
      <c r="W93" s="245"/>
      <c r="X93" s="245"/>
      <c r="Y93" s="245"/>
      <c r="Z93" s="246"/>
      <c r="AA93" s="247"/>
      <c r="AB93" s="247"/>
      <c r="AC93" s="247"/>
      <c r="AD93" s="247"/>
      <c r="AE93" s="247"/>
      <c r="AF93" s="247"/>
      <c r="AG93" s="247"/>
      <c r="AH93" s="247"/>
      <c r="AI93" s="247"/>
      <c r="AJ93" s="247"/>
      <c r="AK93" s="245"/>
      <c r="AL93" s="248"/>
      <c r="AM93" s="186"/>
      <c r="AN93" s="186"/>
      <c r="AO93" s="252"/>
      <c r="AP93" s="245"/>
      <c r="AQ93" s="245"/>
      <c r="AR93" s="245"/>
      <c r="AS93" s="245"/>
      <c r="AT93" s="245"/>
      <c r="AU93" s="245"/>
      <c r="AV93" s="245"/>
      <c r="AW93" s="245"/>
      <c r="AX93" s="245"/>
      <c r="AY93" s="245"/>
      <c r="AZ93" s="245"/>
      <c r="BA93" s="245"/>
      <c r="BB93" s="245"/>
      <c r="BC93" s="245"/>
      <c r="BD93" s="245"/>
      <c r="BE93" s="245"/>
      <c r="BF93" s="245"/>
      <c r="BG93" s="245"/>
      <c r="BH93" s="245"/>
      <c r="BI93" s="245"/>
      <c r="BJ93" s="245"/>
      <c r="BK93" s="245"/>
      <c r="BL93" s="245"/>
      <c r="BM93" s="245"/>
      <c r="BN93" s="245"/>
      <c r="BO93" s="245"/>
      <c r="BP93" s="245"/>
      <c r="BQ93" s="245"/>
      <c r="BR93" s="245"/>
      <c r="BS93" s="245"/>
      <c r="BT93" s="245"/>
      <c r="BU93" s="245"/>
      <c r="BV93" s="245"/>
      <c r="BW93" s="245"/>
      <c r="BX93" s="245"/>
      <c r="BY93" s="248"/>
      <c r="BZ93" s="184"/>
      <c r="CA93" s="184"/>
      <c r="CB93" s="184"/>
      <c r="CC93" s="184"/>
      <c r="CD93" s="184"/>
      <c r="CE93" s="184"/>
      <c r="CF93" s="184"/>
      <c r="CG93" s="184"/>
      <c r="CH93" s="184"/>
      <c r="CI93" s="184"/>
      <c r="CJ93" s="184"/>
      <c r="CK93" s="184"/>
      <c r="CL93" s="184"/>
      <c r="CM93" s="184"/>
      <c r="CN93" s="184"/>
      <c r="CO93" s="184"/>
      <c r="CP93" s="184"/>
      <c r="CQ93" s="184"/>
      <c r="CR93" s="184"/>
      <c r="CS93" s="184"/>
      <c r="CT93" s="184"/>
      <c r="CU93" s="184"/>
      <c r="CV93" s="184"/>
      <c r="CW93" s="184"/>
      <c r="CX93" s="184"/>
      <c r="CY93" s="184"/>
      <c r="CZ93" s="184"/>
      <c r="DA93" s="184"/>
      <c r="DB93" s="184"/>
      <c r="DC93" s="184"/>
      <c r="DD93" s="184"/>
      <c r="DE93" s="184"/>
      <c r="DF93" s="184"/>
      <c r="DG93" s="184"/>
      <c r="DH93" s="184"/>
      <c r="DI93" s="184"/>
      <c r="DJ93" s="184"/>
      <c r="DK93" s="184"/>
      <c r="DL93" s="184"/>
      <c r="DM93" s="184"/>
      <c r="DN93" s="184"/>
      <c r="DO93" s="184"/>
      <c r="DP93" s="184"/>
      <c r="DQ93" s="184"/>
      <c r="DR93" s="184"/>
      <c r="DS93" s="184"/>
      <c r="DT93" s="184"/>
      <c r="DU93" s="184"/>
      <c r="DV93" s="184"/>
      <c r="DW93" s="184"/>
      <c r="DX93" s="184"/>
      <c r="DY93" s="184"/>
      <c r="DZ93" s="184"/>
      <c r="EA93" s="224"/>
    </row>
    <row r="94" spans="1:131" ht="10.15" hidden="1" customHeight="1" x14ac:dyDescent="0.2">
      <c r="A94" s="184"/>
      <c r="B94" s="186"/>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c r="BE94" s="186"/>
      <c r="BF94" s="186"/>
      <c r="BG94" s="186"/>
      <c r="BH94" s="186"/>
      <c r="BI94" s="186"/>
      <c r="BJ94" s="186"/>
      <c r="BK94" s="186"/>
      <c r="BL94" s="186"/>
      <c r="BM94" s="186"/>
      <c r="BN94" s="186"/>
      <c r="BO94" s="186"/>
      <c r="BP94" s="186"/>
      <c r="BQ94" s="186"/>
      <c r="BR94" s="186"/>
      <c r="BS94" s="186"/>
      <c r="BT94" s="186"/>
      <c r="BU94" s="186"/>
      <c r="BV94" s="186"/>
      <c r="BW94" s="186"/>
      <c r="BX94" s="186"/>
      <c r="BY94" s="186"/>
      <c r="BZ94" s="184"/>
      <c r="CA94" s="184"/>
      <c r="CB94" s="184"/>
      <c r="CC94" s="184"/>
      <c r="CD94" s="184"/>
      <c r="CE94" s="184"/>
      <c r="CF94" s="184"/>
      <c r="CG94" s="184"/>
      <c r="CH94" s="184"/>
      <c r="CI94" s="184"/>
      <c r="CJ94" s="184"/>
      <c r="CK94" s="184"/>
      <c r="CL94" s="184"/>
      <c r="CM94" s="184"/>
      <c r="CN94" s="184"/>
      <c r="CO94" s="184"/>
      <c r="CP94" s="184"/>
      <c r="CQ94" s="184"/>
      <c r="CR94" s="184"/>
      <c r="CS94" s="184"/>
      <c r="CT94" s="184"/>
      <c r="CU94" s="184"/>
      <c r="CV94" s="184"/>
      <c r="CW94" s="184"/>
      <c r="CX94" s="184"/>
      <c r="CY94" s="184"/>
      <c r="CZ94" s="184"/>
      <c r="DA94" s="184"/>
      <c r="DB94" s="184"/>
      <c r="DC94" s="184"/>
      <c r="DD94" s="184"/>
      <c r="DE94" s="184"/>
      <c r="DF94" s="184"/>
      <c r="DG94" s="184"/>
      <c r="DH94" s="184"/>
      <c r="DI94" s="184"/>
      <c r="DJ94" s="184"/>
      <c r="DK94" s="184"/>
      <c r="DL94" s="184"/>
      <c r="DM94" s="184"/>
      <c r="DN94" s="184"/>
      <c r="DO94" s="184"/>
      <c r="DP94" s="184"/>
      <c r="DQ94" s="184"/>
      <c r="DR94" s="184"/>
      <c r="DS94" s="184"/>
      <c r="DT94" s="184"/>
      <c r="DU94" s="184"/>
      <c r="DV94" s="184"/>
      <c r="DW94" s="184"/>
      <c r="DX94" s="184"/>
      <c r="DY94" s="184"/>
      <c r="DZ94" s="184"/>
      <c r="EA94" s="224"/>
    </row>
    <row r="95" spans="1:131" ht="6.95" hidden="1" customHeight="1" x14ac:dyDescent="0.2">
      <c r="A95" s="184"/>
      <c r="B95" s="186"/>
      <c r="C95" s="186"/>
      <c r="D95" s="186"/>
      <c r="E95" s="186"/>
      <c r="F95" s="265"/>
      <c r="G95" s="266"/>
      <c r="H95" s="266"/>
      <c r="I95" s="266"/>
      <c r="J95" s="266"/>
      <c r="K95" s="266"/>
      <c r="L95" s="266"/>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67"/>
      <c r="AP95" s="267"/>
      <c r="AQ95" s="267"/>
      <c r="AR95" s="267"/>
      <c r="AS95" s="267"/>
      <c r="AT95" s="267"/>
      <c r="AU95" s="267"/>
      <c r="AV95" s="267"/>
      <c r="AW95" s="267"/>
      <c r="AX95" s="267"/>
      <c r="AY95" s="267"/>
      <c r="AZ95" s="267"/>
      <c r="BA95" s="267"/>
      <c r="BB95" s="267"/>
      <c r="BC95" s="267"/>
      <c r="BD95" s="267"/>
      <c r="BE95" s="267"/>
      <c r="BF95" s="267"/>
      <c r="BG95" s="267"/>
      <c r="BH95" s="267"/>
      <c r="BI95" s="267"/>
      <c r="BJ95" s="267"/>
      <c r="BK95" s="267"/>
      <c r="BL95" s="267"/>
      <c r="BM95" s="267"/>
      <c r="BN95" s="267"/>
      <c r="BO95" s="267"/>
      <c r="BP95" s="267"/>
      <c r="BQ95" s="267"/>
      <c r="BR95" s="267"/>
      <c r="BS95" s="268"/>
      <c r="BT95" s="186"/>
      <c r="BU95" s="186"/>
      <c r="BV95" s="186"/>
      <c r="BW95" s="186"/>
      <c r="BX95" s="186"/>
      <c r="BY95" s="186"/>
      <c r="BZ95" s="184"/>
      <c r="CA95" s="184"/>
      <c r="CB95" s="184"/>
      <c r="CC95" s="184"/>
      <c r="CD95" s="184"/>
      <c r="CE95" s="184"/>
      <c r="CF95" s="184"/>
      <c r="CG95" s="184"/>
      <c r="CH95" s="184"/>
      <c r="CI95" s="184"/>
      <c r="CJ95" s="184"/>
      <c r="CK95" s="184"/>
      <c r="CL95" s="184"/>
      <c r="CM95" s="184"/>
      <c r="CN95" s="184"/>
      <c r="CO95" s="184"/>
      <c r="CP95" s="184"/>
      <c r="CQ95" s="184"/>
      <c r="CR95" s="184"/>
      <c r="CS95" s="184"/>
      <c r="CT95" s="184"/>
      <c r="CU95" s="184"/>
      <c r="CV95" s="184"/>
      <c r="CW95" s="184"/>
      <c r="CX95" s="184"/>
      <c r="CY95" s="184"/>
      <c r="CZ95" s="184"/>
      <c r="DA95" s="184"/>
      <c r="DB95" s="184"/>
      <c r="DC95" s="184"/>
      <c r="DD95" s="184"/>
      <c r="DE95" s="184"/>
      <c r="DF95" s="184"/>
      <c r="DG95" s="184"/>
      <c r="DH95" s="184"/>
      <c r="DI95" s="184"/>
      <c r="DJ95" s="184"/>
      <c r="DK95" s="184"/>
      <c r="DL95" s="184"/>
      <c r="DM95" s="184"/>
      <c r="DN95" s="184"/>
      <c r="DO95" s="184"/>
      <c r="DP95" s="184"/>
      <c r="DQ95" s="184"/>
      <c r="DR95" s="184"/>
      <c r="DS95" s="184"/>
      <c r="DT95" s="184"/>
      <c r="DU95" s="184"/>
      <c r="DV95" s="184"/>
      <c r="DW95" s="184"/>
      <c r="DX95" s="184"/>
      <c r="DY95" s="184"/>
      <c r="DZ95" s="184"/>
      <c r="EA95" s="224"/>
    </row>
    <row r="96" spans="1:131" ht="12.2" hidden="1" customHeight="1" x14ac:dyDescent="0.2">
      <c r="A96" s="184"/>
      <c r="B96" s="186"/>
      <c r="C96" s="186"/>
      <c r="D96" s="186"/>
      <c r="E96" s="186"/>
      <c r="F96" s="269"/>
      <c r="G96" s="184"/>
      <c r="H96" s="651" t="e">
        <f>IF(Daten!C356=1,"x",IF(Daten!E523=1,"x",""))</f>
        <v>#N/A</v>
      </c>
      <c r="I96" s="652"/>
      <c r="J96" s="653"/>
      <c r="K96" s="254"/>
      <c r="L96" s="254"/>
      <c r="M96" s="184"/>
      <c r="N96" s="255" t="str">
        <f>IF(Daten!C356=1,"Die Wohnung ist überbelegt i. S. d. § 2 Nr. 5a NWoSchG, da die Mindestwohnfläche","Die KdU für die o.g. Wohnung überschreiten unabhängig von der Wohnfläche")</f>
        <v>Die KdU für die o.g. Wohnung überschreiten unabhängig von der Wohnfläche</v>
      </c>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5"/>
      <c r="AZ96" s="255"/>
      <c r="BA96" s="255"/>
      <c r="BB96" s="255"/>
      <c r="BC96" s="255"/>
      <c r="BD96" s="255"/>
      <c r="BE96" s="255"/>
      <c r="BF96" s="255"/>
      <c r="BG96" s="255"/>
      <c r="BH96" s="255"/>
      <c r="BI96" s="255"/>
      <c r="BJ96" s="255"/>
      <c r="BK96" s="255"/>
      <c r="BL96" s="255"/>
      <c r="BM96" s="255"/>
      <c r="BN96" s="255"/>
      <c r="BO96" s="255"/>
      <c r="BP96" s="255"/>
      <c r="BQ96" s="255"/>
      <c r="BR96" s="255"/>
      <c r="BS96" s="270"/>
      <c r="BT96" s="184"/>
      <c r="BU96" s="186"/>
      <c r="BV96" s="186"/>
      <c r="BW96" s="186"/>
      <c r="BX96" s="186"/>
      <c r="BY96" s="186"/>
      <c r="BZ96" s="184"/>
      <c r="CA96" s="184"/>
      <c r="CB96" s="184"/>
      <c r="CC96" s="184"/>
      <c r="CD96" s="184"/>
      <c r="CE96" s="184"/>
      <c r="CF96" s="184"/>
      <c r="CG96" s="184"/>
      <c r="CH96" s="184"/>
      <c r="CI96" s="184"/>
      <c r="CJ96" s="184"/>
      <c r="CK96" s="184"/>
      <c r="CL96" s="184"/>
      <c r="CM96" s="184"/>
      <c r="CN96" s="184"/>
      <c r="CO96" s="184"/>
      <c r="CP96" s="184"/>
      <c r="CQ96" s="184"/>
      <c r="CR96" s="184"/>
      <c r="CS96" s="184"/>
      <c r="CT96" s="184"/>
      <c r="CU96" s="184"/>
      <c r="CV96" s="184"/>
      <c r="CW96" s="184"/>
      <c r="CX96" s="184"/>
      <c r="CY96" s="184"/>
      <c r="CZ96" s="184"/>
      <c r="DA96" s="184"/>
      <c r="DB96" s="184"/>
      <c r="DC96" s="184"/>
      <c r="DD96" s="184"/>
      <c r="DE96" s="184"/>
      <c r="DF96" s="184"/>
      <c r="DG96" s="184"/>
      <c r="DH96" s="184"/>
      <c r="DI96" s="184"/>
      <c r="DJ96" s="184"/>
      <c r="DK96" s="184"/>
      <c r="DL96" s="184"/>
      <c r="DM96" s="184"/>
      <c r="DN96" s="184"/>
      <c r="DO96" s="184"/>
      <c r="DP96" s="184"/>
      <c r="DQ96" s="184"/>
      <c r="DR96" s="184"/>
      <c r="DS96" s="184"/>
      <c r="DT96" s="184"/>
      <c r="DU96" s="184"/>
      <c r="DV96" s="184"/>
      <c r="DW96" s="184"/>
      <c r="DX96" s="184"/>
      <c r="DY96" s="184"/>
      <c r="DZ96" s="184"/>
      <c r="EA96" s="224"/>
    </row>
    <row r="97" spans="1:131" ht="12.2" hidden="1" customHeight="1" x14ac:dyDescent="0.2">
      <c r="A97" s="184"/>
      <c r="B97" s="186"/>
      <c r="C97" s="186"/>
      <c r="D97" s="186"/>
      <c r="E97" s="186"/>
      <c r="F97" s="269"/>
      <c r="G97" s="184"/>
      <c r="H97" s="184"/>
      <c r="I97" s="184"/>
      <c r="J97" s="184"/>
      <c r="K97" s="186"/>
      <c r="L97" s="184"/>
      <c r="M97" s="184"/>
      <c r="N97" s="255" t="str">
        <f>IF(Daten!C356=1,"von 10 m² pro Person unterschritten wird.","den Höchstsatz und sind unangemessen i.S.d. § 22 Abs. 1 Satz 1 SGB II.")</f>
        <v>den Höchstsatz und sind unangemessen i.S.d. § 22 Abs. 1 Satz 1 SGB II.</v>
      </c>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55"/>
      <c r="AP97" s="255"/>
      <c r="AQ97" s="255"/>
      <c r="AR97" s="255"/>
      <c r="AS97" s="255"/>
      <c r="AT97" s="255"/>
      <c r="AU97" s="255"/>
      <c r="AV97" s="255"/>
      <c r="AW97" s="255"/>
      <c r="AX97" s="255"/>
      <c r="AY97" s="255"/>
      <c r="AZ97" s="255"/>
      <c r="BA97" s="255"/>
      <c r="BB97" s="255"/>
      <c r="BC97" s="255"/>
      <c r="BD97" s="255"/>
      <c r="BE97" s="255"/>
      <c r="BF97" s="255"/>
      <c r="BG97" s="255"/>
      <c r="BH97" s="255"/>
      <c r="BI97" s="255"/>
      <c r="BJ97" s="255"/>
      <c r="BK97" s="255"/>
      <c r="BL97" s="255"/>
      <c r="BM97" s="255"/>
      <c r="BN97" s="255"/>
      <c r="BO97" s="255"/>
      <c r="BP97" s="255"/>
      <c r="BQ97" s="255"/>
      <c r="BR97" s="255"/>
      <c r="BS97" s="270"/>
      <c r="BT97" s="186"/>
      <c r="BU97" s="186"/>
      <c r="BV97" s="186"/>
      <c r="BW97" s="186"/>
      <c r="BX97" s="186"/>
      <c r="BY97" s="186"/>
      <c r="BZ97" s="184"/>
      <c r="CA97" s="184"/>
      <c r="CB97" s="184"/>
      <c r="CC97" s="184"/>
      <c r="CD97" s="184"/>
      <c r="CE97" s="184"/>
      <c r="CF97" s="184"/>
      <c r="CG97" s="184"/>
      <c r="CH97" s="184"/>
      <c r="CI97" s="184"/>
      <c r="CJ97" s="184"/>
      <c r="CK97" s="184"/>
      <c r="CL97" s="184"/>
      <c r="CM97" s="184"/>
      <c r="CN97" s="184"/>
      <c r="CO97" s="184"/>
      <c r="CP97" s="184"/>
      <c r="CQ97" s="184"/>
      <c r="CR97" s="184"/>
      <c r="CS97" s="184"/>
      <c r="CT97" s="184"/>
      <c r="CU97" s="184"/>
      <c r="CV97" s="184"/>
      <c r="CW97" s="184"/>
      <c r="CX97" s="184"/>
      <c r="CY97" s="184"/>
      <c r="CZ97" s="184"/>
      <c r="DA97" s="184"/>
      <c r="DB97" s="184"/>
      <c r="DC97" s="184"/>
      <c r="DD97" s="184"/>
      <c r="DE97" s="184"/>
      <c r="DF97" s="184"/>
      <c r="DG97" s="184"/>
      <c r="DH97" s="184"/>
      <c r="DI97" s="184"/>
      <c r="DJ97" s="184"/>
      <c r="DK97" s="184"/>
      <c r="DL97" s="184"/>
      <c r="DM97" s="184"/>
      <c r="DN97" s="184"/>
      <c r="DO97" s="184"/>
      <c r="DP97" s="184"/>
      <c r="DQ97" s="184"/>
      <c r="DR97" s="184"/>
      <c r="DS97" s="184"/>
      <c r="DT97" s="184"/>
      <c r="DU97" s="184"/>
      <c r="DV97" s="184"/>
      <c r="DW97" s="184"/>
      <c r="DX97" s="184"/>
      <c r="DY97" s="184"/>
      <c r="DZ97" s="184"/>
      <c r="EA97" s="224"/>
    </row>
    <row r="98" spans="1:131" ht="5.0999999999999996" hidden="1" customHeight="1" x14ac:dyDescent="0.2">
      <c r="A98" s="184"/>
      <c r="B98" s="186"/>
      <c r="C98" s="186"/>
      <c r="D98" s="186"/>
      <c r="E98" s="186"/>
      <c r="F98" s="271"/>
      <c r="G98" s="186"/>
      <c r="H98" s="186"/>
      <c r="I98" s="184"/>
      <c r="J98" s="184"/>
      <c r="K98" s="184"/>
      <c r="L98" s="184"/>
      <c r="M98" s="184"/>
      <c r="N98" s="186"/>
      <c r="O98" s="186"/>
      <c r="P98" s="186"/>
      <c r="Q98" s="186"/>
      <c r="R98" s="186"/>
      <c r="S98" s="186"/>
      <c r="T98" s="186"/>
      <c r="U98" s="186"/>
      <c r="V98" s="186"/>
      <c r="W98" s="184"/>
      <c r="X98" s="184"/>
      <c r="Y98" s="184"/>
      <c r="Z98" s="184"/>
      <c r="AA98" s="184"/>
      <c r="AB98" s="184"/>
      <c r="AC98" s="184"/>
      <c r="AD98" s="184"/>
      <c r="AE98" s="184"/>
      <c r="AF98" s="184"/>
      <c r="AG98" s="184"/>
      <c r="AH98" s="184"/>
      <c r="AI98" s="184"/>
      <c r="AJ98" s="184"/>
      <c r="AK98" s="184"/>
      <c r="AL98" s="184"/>
      <c r="AM98" s="184"/>
      <c r="AN98" s="184"/>
      <c r="AO98" s="184"/>
      <c r="AP98" s="184"/>
      <c r="AQ98" s="184"/>
      <c r="AR98" s="184"/>
      <c r="AS98" s="184"/>
      <c r="AT98" s="184"/>
      <c r="AU98" s="184"/>
      <c r="AV98" s="184"/>
      <c r="AW98" s="184"/>
      <c r="AX98" s="184"/>
      <c r="AY98" s="184"/>
      <c r="AZ98" s="184"/>
      <c r="BA98" s="184"/>
      <c r="BB98" s="184"/>
      <c r="BC98" s="184"/>
      <c r="BD98" s="184"/>
      <c r="BE98" s="184"/>
      <c r="BF98" s="184"/>
      <c r="BG98" s="184"/>
      <c r="BH98" s="184"/>
      <c r="BI98" s="184"/>
      <c r="BJ98" s="184"/>
      <c r="BK98" s="184"/>
      <c r="BL98" s="184"/>
      <c r="BM98" s="184"/>
      <c r="BN98" s="184"/>
      <c r="BO98" s="184"/>
      <c r="BP98" s="184"/>
      <c r="BQ98" s="184"/>
      <c r="BR98" s="184"/>
      <c r="BS98" s="272"/>
      <c r="BT98" s="186"/>
      <c r="BU98" s="186"/>
      <c r="BV98" s="186"/>
      <c r="BW98" s="186"/>
      <c r="BX98" s="186"/>
      <c r="BY98" s="186"/>
      <c r="BZ98" s="184"/>
      <c r="CA98" s="184"/>
      <c r="CB98" s="184"/>
      <c r="CC98" s="184"/>
      <c r="CD98" s="184"/>
      <c r="CE98" s="184"/>
      <c r="CF98" s="184"/>
      <c r="CG98" s="184"/>
      <c r="CH98" s="184"/>
      <c r="CI98" s="184"/>
      <c r="CJ98" s="184"/>
      <c r="CK98" s="184"/>
      <c r="CL98" s="184"/>
      <c r="CM98" s="184"/>
      <c r="CN98" s="184"/>
      <c r="CO98" s="184"/>
      <c r="CP98" s="184"/>
      <c r="CQ98" s="184"/>
      <c r="CR98" s="184"/>
      <c r="CS98" s="184"/>
      <c r="CT98" s="184"/>
      <c r="CU98" s="184"/>
      <c r="CV98" s="184"/>
      <c r="CW98" s="184"/>
      <c r="CX98" s="184"/>
      <c r="CY98" s="184"/>
      <c r="CZ98" s="184"/>
      <c r="DA98" s="184"/>
      <c r="DB98" s="184"/>
      <c r="DC98" s="184"/>
      <c r="DD98" s="184"/>
      <c r="DE98" s="184"/>
      <c r="DF98" s="184"/>
      <c r="DG98" s="184"/>
      <c r="DH98" s="184"/>
      <c r="DI98" s="184"/>
      <c r="DJ98" s="184"/>
      <c r="DK98" s="184"/>
      <c r="DL98" s="184"/>
      <c r="DM98" s="184"/>
      <c r="DN98" s="184"/>
      <c r="DO98" s="184"/>
      <c r="DP98" s="184"/>
      <c r="DQ98" s="184"/>
      <c r="DR98" s="184"/>
      <c r="DS98" s="184"/>
      <c r="DT98" s="184"/>
      <c r="DU98" s="184"/>
      <c r="DV98" s="184"/>
      <c r="DW98" s="184"/>
      <c r="DX98" s="184"/>
      <c r="DY98" s="184"/>
      <c r="DZ98" s="184"/>
      <c r="EA98" s="224"/>
    </row>
    <row r="99" spans="1:131" ht="12.2" hidden="1" customHeight="1" x14ac:dyDescent="0.2">
      <c r="A99" s="184"/>
      <c r="B99" s="186"/>
      <c r="C99" s="186"/>
      <c r="D99" s="186"/>
      <c r="E99" s="186"/>
      <c r="F99" s="271"/>
      <c r="G99" s="186"/>
      <c r="H99" s="186"/>
      <c r="I99" s="184"/>
      <c r="J99" s="184"/>
      <c r="K99" s="184"/>
      <c r="L99" s="184"/>
      <c r="M99" s="184"/>
      <c r="N99" s="256" t="str">
        <f>IF(Daten!C356=1,"Hinweis:","Ergänzung:")</f>
        <v>Ergänzung:</v>
      </c>
      <c r="O99" s="257"/>
      <c r="P99" s="257"/>
      <c r="Q99" s="257"/>
      <c r="R99" s="257"/>
      <c r="S99" s="257"/>
      <c r="T99" s="257"/>
      <c r="U99" s="257"/>
      <c r="V99" s="257"/>
      <c r="W99" s="258" t="str">
        <f>IF(Daten!C356=1,"Eine Zusicherung für die o. g. Wohnung kann nicht erteilt werden.","Die Gesamtangemessenheitsgrenze nach § 22 Abs. 10 SGB II ist")</f>
        <v>Die Gesamtangemessenheitsgrenze nach § 22 Abs. 10 SGB II ist</v>
      </c>
      <c r="X99" s="259"/>
      <c r="Y99" s="259"/>
      <c r="Z99" s="259"/>
      <c r="AA99" s="259"/>
      <c r="AB99" s="259"/>
      <c r="AC99" s="259"/>
      <c r="AD99" s="259"/>
      <c r="AE99" s="259"/>
      <c r="AF99" s="259"/>
      <c r="AG99" s="259"/>
      <c r="AH99" s="259"/>
      <c r="AI99" s="259"/>
      <c r="AJ99" s="259"/>
      <c r="AK99" s="259"/>
      <c r="AL99" s="259"/>
      <c r="AM99" s="259"/>
      <c r="AN99" s="259"/>
      <c r="AO99" s="259"/>
      <c r="AP99" s="259"/>
      <c r="AQ99" s="259"/>
      <c r="AR99" s="259"/>
      <c r="AS99" s="259"/>
      <c r="AT99" s="259"/>
      <c r="AU99" s="259"/>
      <c r="AV99" s="259"/>
      <c r="AW99" s="259"/>
      <c r="AX99" s="259"/>
      <c r="AY99" s="259"/>
      <c r="AZ99" s="259"/>
      <c r="BA99" s="259"/>
      <c r="BB99" s="259"/>
      <c r="BC99" s="259"/>
      <c r="BD99" s="259"/>
      <c r="BE99" s="259"/>
      <c r="BF99" s="259"/>
      <c r="BG99" s="259"/>
      <c r="BH99" s="259"/>
      <c r="BI99" s="259"/>
      <c r="BJ99" s="259"/>
      <c r="BK99" s="259"/>
      <c r="BL99" s="259"/>
      <c r="BM99" s="259"/>
      <c r="BN99" s="259"/>
      <c r="BO99" s="259"/>
      <c r="BP99" s="259"/>
      <c r="BQ99" s="259"/>
      <c r="BR99" s="259"/>
      <c r="BS99" s="273"/>
      <c r="BT99" s="186"/>
      <c r="BU99" s="186"/>
      <c r="BV99" s="186"/>
      <c r="BW99" s="186"/>
      <c r="BX99" s="186"/>
      <c r="BY99" s="186"/>
      <c r="BZ99" s="184"/>
      <c r="CA99" s="184"/>
      <c r="CB99" s="184"/>
      <c r="CC99" s="184"/>
      <c r="CD99" s="184"/>
      <c r="CE99" s="184"/>
      <c r="CF99" s="184"/>
      <c r="CG99" s="184"/>
      <c r="CH99" s="184"/>
      <c r="CI99" s="184"/>
      <c r="CJ99" s="184"/>
      <c r="CK99" s="184"/>
      <c r="CL99" s="184"/>
      <c r="CM99" s="184"/>
      <c r="CN99" s="184"/>
      <c r="CO99" s="184"/>
      <c r="CP99" s="184"/>
      <c r="CQ99" s="184"/>
      <c r="CR99" s="184"/>
      <c r="CS99" s="184"/>
      <c r="CT99" s="184"/>
      <c r="CU99" s="184"/>
      <c r="CV99" s="184"/>
      <c r="CW99" s="184"/>
      <c r="CX99" s="184"/>
      <c r="CY99" s="184"/>
      <c r="CZ99" s="184"/>
      <c r="DA99" s="184"/>
      <c r="DB99" s="184"/>
      <c r="DC99" s="184"/>
      <c r="DD99" s="184"/>
      <c r="DE99" s="184"/>
      <c r="DF99" s="184"/>
      <c r="DG99" s="184"/>
      <c r="DH99" s="184"/>
      <c r="DI99" s="184"/>
      <c r="DJ99" s="184"/>
      <c r="DK99" s="184"/>
      <c r="DL99" s="184"/>
      <c r="DM99" s="184"/>
      <c r="DN99" s="184"/>
      <c r="DO99" s="184"/>
      <c r="DP99" s="184"/>
      <c r="DQ99" s="184"/>
      <c r="DR99" s="184"/>
      <c r="DS99" s="184"/>
      <c r="DT99" s="184"/>
      <c r="DU99" s="184"/>
      <c r="DV99" s="184"/>
      <c r="DW99" s="184"/>
      <c r="DX99" s="184"/>
      <c r="DY99" s="184"/>
      <c r="DZ99" s="184"/>
      <c r="EA99" s="224"/>
    </row>
    <row r="100" spans="1:131" ht="12.2" hidden="1" customHeight="1" x14ac:dyDescent="0.2">
      <c r="A100" s="184"/>
      <c r="B100" s="186"/>
      <c r="C100" s="186"/>
      <c r="D100" s="186"/>
      <c r="E100" s="186"/>
      <c r="F100" s="271"/>
      <c r="G100" s="186"/>
      <c r="H100" s="186"/>
      <c r="I100" s="184"/>
      <c r="J100" s="184"/>
      <c r="K100" s="184"/>
      <c r="L100" s="184"/>
      <c r="M100" s="184"/>
      <c r="N100" s="186"/>
      <c r="O100" s="186"/>
      <c r="P100" s="186"/>
      <c r="Q100" s="186"/>
      <c r="R100" s="186"/>
      <c r="S100" s="186"/>
      <c r="T100" s="186"/>
      <c r="U100" s="184"/>
      <c r="V100" s="184"/>
      <c r="W100" s="186" t="str">
        <f>IF(Daten!C356=1,"In Bestandsfällen werden die KdU gewährt.","noch zu prüfen, soweit die Heizkosten angemessen sind.")</f>
        <v>noch zu prüfen, soweit die Heizkosten angemessen sind.</v>
      </c>
      <c r="X100" s="255"/>
      <c r="Y100" s="255"/>
      <c r="Z100" s="255"/>
      <c r="AA100" s="255"/>
      <c r="AB100" s="255"/>
      <c r="AC100" s="255"/>
      <c r="AD100" s="255"/>
      <c r="AE100" s="255"/>
      <c r="AF100" s="255"/>
      <c r="AG100" s="255"/>
      <c r="AH100" s="255"/>
      <c r="AI100" s="255"/>
      <c r="AJ100" s="255"/>
      <c r="AK100" s="255"/>
      <c r="AL100" s="255"/>
      <c r="AM100" s="255"/>
      <c r="AN100" s="255"/>
      <c r="AO100" s="255"/>
      <c r="AP100" s="255"/>
      <c r="AQ100" s="255"/>
      <c r="AR100" s="255"/>
      <c r="AS100" s="255"/>
      <c r="AT100" s="255"/>
      <c r="AU100" s="255"/>
      <c r="AV100" s="255"/>
      <c r="AW100" s="255"/>
      <c r="AX100" s="255"/>
      <c r="AY100" s="255"/>
      <c r="AZ100" s="255"/>
      <c r="BA100" s="255"/>
      <c r="BB100" s="255"/>
      <c r="BC100" s="255"/>
      <c r="BD100" s="255"/>
      <c r="BE100" s="255"/>
      <c r="BF100" s="255"/>
      <c r="BG100" s="255"/>
      <c r="BH100" s="255"/>
      <c r="BI100" s="255"/>
      <c r="BJ100" s="255"/>
      <c r="BK100" s="255"/>
      <c r="BL100" s="255"/>
      <c r="BM100" s="255"/>
      <c r="BN100" s="255"/>
      <c r="BO100" s="255"/>
      <c r="BP100" s="255"/>
      <c r="BQ100" s="255"/>
      <c r="BR100" s="255"/>
      <c r="BS100" s="270"/>
      <c r="BT100" s="186"/>
      <c r="BU100" s="186"/>
      <c r="BV100" s="186"/>
      <c r="BW100" s="186"/>
      <c r="BX100" s="186"/>
      <c r="BY100" s="186"/>
      <c r="BZ100" s="184"/>
      <c r="CA100" s="184"/>
      <c r="CB100" s="184"/>
      <c r="CC100" s="184"/>
      <c r="CD100" s="184"/>
      <c r="CE100" s="184"/>
      <c r="CF100" s="184"/>
      <c r="CG100" s="184"/>
      <c r="CH100" s="184"/>
      <c r="CI100" s="184"/>
      <c r="CJ100" s="184"/>
      <c r="CK100" s="184"/>
      <c r="CL100" s="184"/>
      <c r="CM100" s="184"/>
      <c r="CN100" s="184"/>
      <c r="CO100" s="184"/>
      <c r="CP100" s="184"/>
      <c r="CQ100" s="184"/>
      <c r="CR100" s="184"/>
      <c r="CS100" s="184"/>
      <c r="CT100" s="184"/>
      <c r="CU100" s="184"/>
      <c r="CV100" s="184"/>
      <c r="CW100" s="184"/>
      <c r="CX100" s="184"/>
      <c r="CY100" s="184"/>
      <c r="CZ100" s="184"/>
      <c r="DA100" s="184"/>
      <c r="DB100" s="184"/>
      <c r="DC100" s="184"/>
      <c r="DD100" s="184"/>
      <c r="DE100" s="184"/>
      <c r="DF100" s="184"/>
      <c r="DG100" s="184"/>
      <c r="DH100" s="184"/>
      <c r="DI100" s="184"/>
      <c r="DJ100" s="184"/>
      <c r="DK100" s="184"/>
      <c r="DL100" s="184"/>
      <c r="DM100" s="184"/>
      <c r="DN100" s="184"/>
      <c r="DO100" s="184"/>
      <c r="DP100" s="184"/>
      <c r="DQ100" s="184"/>
      <c r="DR100" s="184"/>
      <c r="DS100" s="184"/>
      <c r="DT100" s="184"/>
      <c r="DU100" s="184"/>
      <c r="DV100" s="184"/>
      <c r="DW100" s="184"/>
      <c r="DX100" s="184"/>
      <c r="DY100" s="184"/>
      <c r="DZ100" s="184"/>
      <c r="EA100" s="224"/>
    </row>
    <row r="101" spans="1:131" ht="6.95" hidden="1" customHeight="1" x14ac:dyDescent="0.2">
      <c r="A101" s="184"/>
      <c r="B101" s="186"/>
      <c r="C101" s="186"/>
      <c r="D101" s="186"/>
      <c r="E101" s="186"/>
      <c r="F101" s="271"/>
      <c r="G101" s="186"/>
      <c r="H101" s="186"/>
      <c r="I101" s="186"/>
      <c r="J101" s="186"/>
      <c r="K101" s="186"/>
      <c r="L101" s="184"/>
      <c r="M101" s="186"/>
      <c r="N101" s="186"/>
      <c r="O101" s="186"/>
      <c r="P101" s="186"/>
      <c r="Q101" s="186"/>
      <c r="R101" s="186"/>
      <c r="S101" s="186"/>
      <c r="T101" s="186"/>
      <c r="U101" s="184"/>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6"/>
      <c r="BQ101" s="186"/>
      <c r="BR101" s="186"/>
      <c r="BS101" s="274"/>
      <c r="BT101" s="186"/>
      <c r="BU101" s="186"/>
      <c r="BV101" s="186"/>
      <c r="BW101" s="186"/>
      <c r="BX101" s="186"/>
      <c r="BY101" s="186"/>
      <c r="BZ101" s="184"/>
      <c r="CA101" s="184"/>
      <c r="CB101" s="184"/>
      <c r="CC101" s="184"/>
      <c r="CD101" s="184"/>
      <c r="CE101" s="184"/>
      <c r="CF101" s="184"/>
      <c r="CG101" s="184"/>
      <c r="CH101" s="184"/>
      <c r="CI101" s="184"/>
      <c r="CJ101" s="184"/>
      <c r="CK101" s="184"/>
      <c r="CL101" s="184"/>
      <c r="CM101" s="184"/>
      <c r="CN101" s="184"/>
      <c r="CO101" s="184"/>
      <c r="CP101" s="184"/>
      <c r="CQ101" s="184"/>
      <c r="CR101" s="184"/>
      <c r="CS101" s="184"/>
      <c r="CT101" s="184"/>
      <c r="CU101" s="184"/>
      <c r="CV101" s="184"/>
      <c r="CW101" s="184"/>
      <c r="CX101" s="184"/>
      <c r="CY101" s="184"/>
      <c r="CZ101" s="184"/>
      <c r="DA101" s="184"/>
      <c r="DB101" s="184"/>
      <c r="DC101" s="184"/>
      <c r="DD101" s="184"/>
      <c r="DE101" s="184"/>
      <c r="DF101" s="184"/>
      <c r="DG101" s="184"/>
      <c r="DH101" s="184"/>
      <c r="DI101" s="184"/>
      <c r="DJ101" s="184"/>
      <c r="DK101" s="184"/>
      <c r="DL101" s="184"/>
      <c r="DM101" s="184"/>
      <c r="DN101" s="184"/>
      <c r="DO101" s="184"/>
      <c r="DP101" s="184"/>
      <c r="DQ101" s="184"/>
      <c r="DR101" s="184"/>
      <c r="DS101" s="184"/>
      <c r="DT101" s="184"/>
      <c r="DU101" s="184"/>
      <c r="DV101" s="184"/>
      <c r="DW101" s="184"/>
      <c r="DX101" s="184"/>
      <c r="DY101" s="184"/>
      <c r="DZ101" s="184"/>
      <c r="EA101" s="224"/>
    </row>
    <row r="102" spans="1:131" ht="3.2" hidden="1" customHeight="1" x14ac:dyDescent="0.2">
      <c r="A102" s="184"/>
      <c r="B102" s="186"/>
      <c r="C102" s="186"/>
      <c r="D102" s="186"/>
      <c r="E102" s="186"/>
      <c r="F102" s="271"/>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86"/>
      <c r="BQ102" s="186"/>
      <c r="BR102" s="186"/>
      <c r="BS102" s="274"/>
      <c r="BT102" s="186"/>
      <c r="BU102" s="186"/>
      <c r="BV102" s="186"/>
      <c r="BW102" s="186"/>
      <c r="BX102" s="186"/>
      <c r="BY102" s="186"/>
      <c r="BZ102" s="184"/>
      <c r="CA102" s="184"/>
      <c r="CB102" s="184"/>
      <c r="CC102" s="184"/>
      <c r="CD102" s="184"/>
      <c r="CE102" s="184"/>
      <c r="CF102" s="184"/>
      <c r="CG102" s="184"/>
      <c r="CH102" s="184"/>
      <c r="CI102" s="184"/>
      <c r="CJ102" s="184"/>
      <c r="CK102" s="184"/>
      <c r="CL102" s="184"/>
      <c r="CM102" s="184"/>
      <c r="CN102" s="184"/>
      <c r="CO102" s="184"/>
      <c r="CP102" s="184"/>
      <c r="CQ102" s="184"/>
      <c r="CR102" s="184"/>
      <c r="CS102" s="184"/>
      <c r="CT102" s="184"/>
      <c r="CU102" s="184"/>
      <c r="CV102" s="184"/>
      <c r="CW102" s="184"/>
      <c r="CX102" s="184"/>
      <c r="CY102" s="184"/>
      <c r="CZ102" s="184"/>
      <c r="DA102" s="184"/>
      <c r="DB102" s="184"/>
      <c r="DC102" s="184"/>
      <c r="DD102" s="184"/>
      <c r="DE102" s="184"/>
      <c r="DF102" s="184"/>
      <c r="DG102" s="184"/>
      <c r="DH102" s="184"/>
      <c r="DI102" s="184"/>
      <c r="DJ102" s="184"/>
      <c r="DK102" s="184"/>
      <c r="DL102" s="184"/>
      <c r="DM102" s="184"/>
      <c r="DN102" s="184"/>
      <c r="DO102" s="184"/>
      <c r="DP102" s="184"/>
      <c r="DQ102" s="184"/>
      <c r="DR102" s="184"/>
      <c r="DS102" s="184"/>
      <c r="DT102" s="184"/>
      <c r="DU102" s="184"/>
      <c r="DV102" s="184"/>
      <c r="DW102" s="184"/>
      <c r="DX102" s="184"/>
      <c r="DY102" s="184"/>
      <c r="DZ102" s="184"/>
      <c r="EA102" s="224"/>
    </row>
    <row r="103" spans="1:131" ht="6.95" hidden="1" customHeight="1" x14ac:dyDescent="0.2">
      <c r="A103" s="184"/>
      <c r="B103" s="186"/>
      <c r="C103" s="186"/>
      <c r="D103" s="186"/>
      <c r="E103" s="186"/>
      <c r="F103" s="271"/>
      <c r="G103" s="186"/>
      <c r="H103" s="184"/>
      <c r="I103" s="184"/>
      <c r="J103" s="184"/>
      <c r="K103" s="184"/>
      <c r="L103" s="184"/>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c r="AY103" s="186"/>
      <c r="AZ103" s="186"/>
      <c r="BA103" s="186"/>
      <c r="BB103" s="186"/>
      <c r="BC103" s="186"/>
      <c r="BD103" s="186"/>
      <c r="BE103" s="186"/>
      <c r="BF103" s="186"/>
      <c r="BG103" s="186"/>
      <c r="BH103" s="186"/>
      <c r="BI103" s="186"/>
      <c r="BJ103" s="186"/>
      <c r="BK103" s="186"/>
      <c r="BL103" s="186"/>
      <c r="BM103" s="186"/>
      <c r="BN103" s="186"/>
      <c r="BO103" s="186"/>
      <c r="BP103" s="186"/>
      <c r="BQ103" s="186"/>
      <c r="BR103" s="186"/>
      <c r="BS103" s="274"/>
      <c r="BT103" s="186"/>
      <c r="BU103" s="186"/>
      <c r="BV103" s="186"/>
      <c r="BW103" s="186"/>
      <c r="BX103" s="186"/>
      <c r="BY103" s="186"/>
      <c r="BZ103" s="184"/>
      <c r="CA103" s="184"/>
      <c r="CB103" s="184"/>
      <c r="CC103" s="184"/>
      <c r="CD103" s="184"/>
      <c r="CE103" s="184"/>
      <c r="CF103" s="184"/>
      <c r="CG103" s="184"/>
      <c r="CH103" s="184"/>
      <c r="CI103" s="184"/>
      <c r="CJ103" s="184"/>
      <c r="CK103" s="184"/>
      <c r="CL103" s="184"/>
      <c r="CM103" s="184"/>
      <c r="CN103" s="184"/>
      <c r="CO103" s="184"/>
      <c r="CP103" s="184"/>
      <c r="CQ103" s="184"/>
      <c r="CR103" s="184"/>
      <c r="CS103" s="184"/>
      <c r="CT103" s="184"/>
      <c r="CU103" s="184"/>
      <c r="CV103" s="184"/>
      <c r="CW103" s="184"/>
      <c r="CX103" s="184"/>
      <c r="CY103" s="184"/>
      <c r="CZ103" s="184"/>
      <c r="DA103" s="184"/>
      <c r="DB103" s="184"/>
      <c r="DC103" s="184"/>
      <c r="DD103" s="184"/>
      <c r="DE103" s="184"/>
      <c r="DF103" s="184"/>
      <c r="DG103" s="184"/>
      <c r="DH103" s="184"/>
      <c r="DI103" s="184"/>
      <c r="DJ103" s="184"/>
      <c r="DK103" s="184"/>
      <c r="DL103" s="184"/>
      <c r="DM103" s="184"/>
      <c r="DN103" s="184"/>
      <c r="DO103" s="184"/>
      <c r="DP103" s="184"/>
      <c r="DQ103" s="184"/>
      <c r="DR103" s="184"/>
      <c r="DS103" s="184"/>
      <c r="DT103" s="184"/>
      <c r="DU103" s="184"/>
      <c r="DV103" s="184"/>
      <c r="DW103" s="184"/>
      <c r="DX103" s="184"/>
      <c r="DY103" s="184"/>
      <c r="DZ103" s="184"/>
      <c r="EA103" s="224"/>
    </row>
    <row r="104" spans="1:131" ht="12.2" hidden="1" customHeight="1" x14ac:dyDescent="0.2">
      <c r="A104" s="184"/>
      <c r="B104" s="186"/>
      <c r="C104" s="186"/>
      <c r="D104" s="186"/>
      <c r="E104" s="186"/>
      <c r="F104" s="269"/>
      <c r="G104" s="184"/>
      <c r="H104" s="651" t="e">
        <f>IF(AND(Daten!C356=1,Daten!E523=1),"x",IF(AND(Daten!C356=0,Daten!E524=1),"x",""))</f>
        <v>#N/A</v>
      </c>
      <c r="I104" s="652"/>
      <c r="J104" s="653"/>
      <c r="K104" s="254"/>
      <c r="L104" s="254"/>
      <c r="M104" s="189"/>
      <c r="N104" s="259" t="str">
        <f>IF(Daten!C356=1,"Die KdU sind unangemessen. In Bestandsfällen: Prüfung der Gesamtange-","Die Heizkosten überschreiten den Höchstsatz und sind unangemessen")</f>
        <v>Die Heizkosten überschreiten den Höchstsatz und sind unangemessen</v>
      </c>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c r="AS104" s="259"/>
      <c r="AT104" s="259"/>
      <c r="AU104" s="259"/>
      <c r="AV104" s="259"/>
      <c r="AW104" s="259"/>
      <c r="AX104" s="259"/>
      <c r="AY104" s="259"/>
      <c r="AZ104" s="259"/>
      <c r="BA104" s="259"/>
      <c r="BB104" s="259"/>
      <c r="BC104" s="259"/>
      <c r="BD104" s="259"/>
      <c r="BE104" s="259"/>
      <c r="BF104" s="259"/>
      <c r="BG104" s="259"/>
      <c r="BH104" s="259"/>
      <c r="BI104" s="259"/>
      <c r="BJ104" s="259"/>
      <c r="BK104" s="259"/>
      <c r="BL104" s="259"/>
      <c r="BM104" s="259"/>
      <c r="BN104" s="259"/>
      <c r="BO104" s="259"/>
      <c r="BP104" s="259"/>
      <c r="BQ104" s="259"/>
      <c r="BR104" s="259"/>
      <c r="BS104" s="273"/>
      <c r="BT104" s="186"/>
      <c r="BU104" s="186"/>
      <c r="BV104" s="186"/>
      <c r="BW104" s="186"/>
      <c r="BX104" s="186"/>
      <c r="BY104" s="186"/>
      <c r="BZ104" s="184"/>
      <c r="CA104" s="184"/>
      <c r="CB104" s="184"/>
      <c r="CC104" s="184"/>
      <c r="CD104" s="184"/>
      <c r="CE104" s="184"/>
      <c r="CF104" s="184"/>
      <c r="CG104" s="184"/>
      <c r="CH104" s="184"/>
      <c r="CI104" s="184"/>
      <c r="CJ104" s="184"/>
      <c r="CK104" s="184"/>
      <c r="CL104" s="184"/>
      <c r="CM104" s="184"/>
      <c r="CN104" s="184"/>
      <c r="CO104" s="184"/>
      <c r="CP104" s="184"/>
      <c r="CQ104" s="184"/>
      <c r="CR104" s="184"/>
      <c r="CS104" s="184"/>
      <c r="CT104" s="184"/>
      <c r="CU104" s="184"/>
      <c r="CV104" s="184"/>
      <c r="CW104" s="184"/>
      <c r="CX104" s="184"/>
      <c r="CY104" s="184"/>
      <c r="CZ104" s="184"/>
      <c r="DA104" s="184"/>
      <c r="DB104" s="184"/>
      <c r="DC104" s="184"/>
      <c r="DD104" s="184"/>
      <c r="DE104" s="184"/>
      <c r="DF104" s="184"/>
      <c r="DG104" s="184"/>
      <c r="DH104" s="184"/>
      <c r="DI104" s="184"/>
      <c r="DJ104" s="184"/>
      <c r="DK104" s="184"/>
      <c r="DL104" s="184"/>
      <c r="DM104" s="184"/>
      <c r="DN104" s="184"/>
      <c r="DO104" s="184"/>
      <c r="DP104" s="184"/>
      <c r="DQ104" s="184"/>
      <c r="DR104" s="184"/>
      <c r="DS104" s="184"/>
      <c r="DT104" s="184"/>
      <c r="DU104" s="184"/>
      <c r="DV104" s="184"/>
      <c r="DW104" s="184"/>
      <c r="DX104" s="184"/>
      <c r="DY104" s="184"/>
      <c r="DZ104" s="184"/>
      <c r="EA104" s="224"/>
    </row>
    <row r="105" spans="1:131" ht="12.2" hidden="1" customHeight="1" x14ac:dyDescent="0.2">
      <c r="A105" s="184"/>
      <c r="B105" s="186"/>
      <c r="C105" s="186"/>
      <c r="D105" s="186"/>
      <c r="E105" s="186"/>
      <c r="F105" s="275"/>
      <c r="G105" s="260"/>
      <c r="H105" s="261"/>
      <c r="I105" s="260"/>
      <c r="J105" s="260"/>
      <c r="K105" s="184"/>
      <c r="L105" s="262"/>
      <c r="M105" s="189"/>
      <c r="N105" s="190" t="str">
        <f>IF(Daten!C356=1,"messenheitsgrenze, wenn die Heizkosten angemessen sind.","i. S. d. § 22 Abs. 1 Satz 1 SGB II.")</f>
        <v>i. S. d. § 22 Abs. 1 Satz 1 SGB II.</v>
      </c>
      <c r="O105" s="184"/>
      <c r="P105" s="186"/>
      <c r="Q105" s="186"/>
      <c r="R105" s="186"/>
      <c r="S105" s="186"/>
      <c r="T105" s="186"/>
      <c r="U105" s="186"/>
      <c r="V105" s="186"/>
      <c r="W105" s="186"/>
      <c r="X105" s="184"/>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6"/>
      <c r="AZ105" s="186"/>
      <c r="BA105" s="186"/>
      <c r="BB105" s="186"/>
      <c r="BC105" s="186"/>
      <c r="BD105" s="186"/>
      <c r="BE105" s="186"/>
      <c r="BF105" s="186"/>
      <c r="BG105" s="186"/>
      <c r="BH105" s="186"/>
      <c r="BI105" s="186"/>
      <c r="BJ105" s="186"/>
      <c r="BK105" s="186"/>
      <c r="BL105" s="186"/>
      <c r="BM105" s="186"/>
      <c r="BN105" s="186"/>
      <c r="BO105" s="186"/>
      <c r="BP105" s="186"/>
      <c r="BQ105" s="186"/>
      <c r="BR105" s="186"/>
      <c r="BS105" s="274"/>
      <c r="BT105" s="186"/>
      <c r="BU105" s="186"/>
      <c r="BV105" s="186"/>
      <c r="BW105" s="186"/>
      <c r="BX105" s="186"/>
      <c r="BY105" s="186"/>
      <c r="BZ105" s="184"/>
      <c r="CA105" s="184"/>
      <c r="CB105" s="184"/>
      <c r="CC105" s="184"/>
      <c r="CD105" s="184"/>
      <c r="CE105" s="184"/>
      <c r="CF105" s="184"/>
      <c r="CG105" s="184"/>
      <c r="CH105" s="184"/>
      <c r="CI105" s="184"/>
      <c r="CJ105" s="184"/>
      <c r="CK105" s="184"/>
      <c r="CL105" s="184"/>
      <c r="CM105" s="184"/>
      <c r="CN105" s="184"/>
      <c r="CO105" s="184"/>
      <c r="CP105" s="184"/>
      <c r="CQ105" s="184"/>
      <c r="CR105" s="184"/>
      <c r="CS105" s="184"/>
      <c r="CT105" s="184"/>
      <c r="CU105" s="184"/>
      <c r="CV105" s="184"/>
      <c r="CW105" s="184"/>
      <c r="CX105" s="184"/>
      <c r="CY105" s="184"/>
      <c r="CZ105" s="184"/>
      <c r="DA105" s="184"/>
      <c r="DB105" s="184"/>
      <c r="DC105" s="184"/>
      <c r="DD105" s="184"/>
      <c r="DE105" s="184"/>
      <c r="DF105" s="184"/>
      <c r="DG105" s="184"/>
      <c r="DH105" s="184"/>
      <c r="DI105" s="184"/>
      <c r="DJ105" s="184"/>
      <c r="DK105" s="184"/>
      <c r="DL105" s="184"/>
      <c r="DM105" s="184"/>
      <c r="DN105" s="184"/>
      <c r="DO105" s="184"/>
      <c r="DP105" s="184"/>
      <c r="DQ105" s="184"/>
      <c r="DR105" s="184"/>
      <c r="DS105" s="184"/>
      <c r="DT105" s="184"/>
      <c r="DU105" s="184"/>
      <c r="DV105" s="184"/>
      <c r="DW105" s="184"/>
      <c r="DX105" s="184"/>
      <c r="DY105" s="184"/>
      <c r="DZ105" s="184"/>
      <c r="EA105" s="224"/>
    </row>
    <row r="106" spans="1:131" ht="5.0999999999999996" hidden="1" customHeight="1" x14ac:dyDescent="0.2">
      <c r="A106" s="184"/>
      <c r="B106" s="186"/>
      <c r="C106" s="186"/>
      <c r="D106" s="186"/>
      <c r="E106" s="186"/>
      <c r="F106" s="275"/>
      <c r="G106" s="260"/>
      <c r="H106" s="261"/>
      <c r="I106" s="260"/>
      <c r="J106" s="260"/>
      <c r="K106" s="184"/>
      <c r="L106" s="262"/>
      <c r="M106" s="189"/>
      <c r="N106" s="184"/>
      <c r="O106" s="184"/>
      <c r="P106" s="186"/>
      <c r="Q106" s="186"/>
      <c r="R106" s="186"/>
      <c r="S106" s="186"/>
      <c r="T106" s="186"/>
      <c r="U106" s="186"/>
      <c r="V106" s="186"/>
      <c r="W106" s="186"/>
      <c r="X106" s="184"/>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c r="BI106" s="186"/>
      <c r="BJ106" s="186"/>
      <c r="BK106" s="186"/>
      <c r="BL106" s="186"/>
      <c r="BM106" s="186"/>
      <c r="BN106" s="186"/>
      <c r="BO106" s="186"/>
      <c r="BP106" s="186"/>
      <c r="BQ106" s="186"/>
      <c r="BR106" s="186"/>
      <c r="BS106" s="274"/>
      <c r="BT106" s="186"/>
      <c r="BU106" s="186"/>
      <c r="BV106" s="186"/>
      <c r="BW106" s="186"/>
      <c r="BX106" s="186"/>
      <c r="BY106" s="186"/>
      <c r="BZ106" s="184"/>
      <c r="CA106" s="184"/>
      <c r="CB106" s="184"/>
      <c r="CC106" s="184"/>
      <c r="CD106" s="184"/>
      <c r="CE106" s="184"/>
      <c r="CF106" s="184"/>
      <c r="CG106" s="184"/>
      <c r="CH106" s="184"/>
      <c r="CI106" s="184"/>
      <c r="CJ106" s="184"/>
      <c r="CK106" s="184"/>
      <c r="CL106" s="184"/>
      <c r="CM106" s="184"/>
      <c r="CN106" s="184"/>
      <c r="CO106" s="184"/>
      <c r="CP106" s="184"/>
      <c r="CQ106" s="184"/>
      <c r="CR106" s="184"/>
      <c r="CS106" s="184"/>
      <c r="CT106" s="184"/>
      <c r="CU106" s="184"/>
      <c r="CV106" s="184"/>
      <c r="CW106" s="184"/>
      <c r="CX106" s="184"/>
      <c r="CY106" s="184"/>
      <c r="CZ106" s="184"/>
      <c r="DA106" s="184"/>
      <c r="DB106" s="184"/>
      <c r="DC106" s="184"/>
      <c r="DD106" s="184"/>
      <c r="DE106" s="184"/>
      <c r="DF106" s="184"/>
      <c r="DG106" s="184"/>
      <c r="DH106" s="184"/>
      <c r="DI106" s="184"/>
      <c r="DJ106" s="184"/>
      <c r="DK106" s="184"/>
      <c r="DL106" s="184"/>
      <c r="DM106" s="184"/>
      <c r="DN106" s="184"/>
      <c r="DO106" s="184"/>
      <c r="DP106" s="184"/>
      <c r="DQ106" s="184"/>
      <c r="DR106" s="184"/>
      <c r="DS106" s="184"/>
      <c r="DT106" s="184"/>
      <c r="DU106" s="184"/>
      <c r="DV106" s="184"/>
      <c r="DW106" s="184"/>
      <c r="DX106" s="184"/>
      <c r="DY106" s="184"/>
      <c r="DZ106" s="184"/>
      <c r="EA106" s="224"/>
    </row>
    <row r="107" spans="1:131" ht="12.2" hidden="1" customHeight="1" x14ac:dyDescent="0.2">
      <c r="A107" s="184"/>
      <c r="B107" s="186"/>
      <c r="C107" s="186"/>
      <c r="D107" s="186"/>
      <c r="E107" s="186"/>
      <c r="F107" s="271"/>
      <c r="G107" s="186"/>
      <c r="H107" s="651" t="e">
        <f>IF(AND(Daten!C356=1,Daten!E524=1),"x","")</f>
        <v>#N/A</v>
      </c>
      <c r="I107" s="652"/>
      <c r="J107" s="653"/>
      <c r="K107" s="184"/>
      <c r="L107" s="184"/>
      <c r="M107" s="184"/>
      <c r="N107" s="258" t="str">
        <f>IF(Daten!C356=1,"Heizkosten","Ergänzung:")</f>
        <v>Ergänzung:</v>
      </c>
      <c r="O107" s="256"/>
      <c r="P107" s="256"/>
      <c r="Q107" s="256"/>
      <c r="R107" s="256"/>
      <c r="S107" s="256"/>
      <c r="T107" s="256"/>
      <c r="U107" s="256"/>
      <c r="V107" s="256"/>
      <c r="W107" s="258" t="str">
        <f>IF(Daten!C356=1,"sind unangemessen. In Bestandsfällen: Prüfung der Gesamt-","Die Gesamtangemessenheitsgrenze nach § 22 Abs. 10 SGB II ist")</f>
        <v>Die Gesamtangemessenheitsgrenze nach § 22 Abs. 10 SGB II ist</v>
      </c>
      <c r="X107" s="258"/>
      <c r="Y107" s="258"/>
      <c r="Z107" s="258"/>
      <c r="AA107" s="258"/>
      <c r="AB107" s="258"/>
      <c r="AC107" s="258"/>
      <c r="AD107" s="258"/>
      <c r="AE107" s="258"/>
      <c r="AF107" s="258"/>
      <c r="AG107" s="258"/>
      <c r="AH107" s="258"/>
      <c r="AI107" s="258"/>
      <c r="AJ107" s="258"/>
      <c r="AK107" s="258"/>
      <c r="AL107" s="258"/>
      <c r="AM107" s="258"/>
      <c r="AN107" s="258"/>
      <c r="AO107" s="258"/>
      <c r="AP107" s="258"/>
      <c r="AQ107" s="258"/>
      <c r="AR107" s="258"/>
      <c r="AS107" s="258"/>
      <c r="AT107" s="258"/>
      <c r="AU107" s="258"/>
      <c r="AV107" s="258"/>
      <c r="AW107" s="258"/>
      <c r="AX107" s="258"/>
      <c r="AY107" s="258"/>
      <c r="AZ107" s="258"/>
      <c r="BA107" s="258"/>
      <c r="BB107" s="258"/>
      <c r="BC107" s="258"/>
      <c r="BD107" s="258"/>
      <c r="BE107" s="258"/>
      <c r="BF107" s="258"/>
      <c r="BG107" s="258"/>
      <c r="BH107" s="258"/>
      <c r="BI107" s="258"/>
      <c r="BJ107" s="258"/>
      <c r="BK107" s="258"/>
      <c r="BL107" s="258"/>
      <c r="BM107" s="258"/>
      <c r="BN107" s="258"/>
      <c r="BO107" s="258"/>
      <c r="BP107" s="258"/>
      <c r="BQ107" s="258"/>
      <c r="BR107" s="258"/>
      <c r="BS107" s="276"/>
      <c r="BT107" s="186"/>
      <c r="BU107" s="186"/>
      <c r="BV107" s="186"/>
      <c r="BW107" s="186"/>
      <c r="BX107" s="186"/>
      <c r="BY107" s="186"/>
      <c r="BZ107" s="184"/>
      <c r="CA107" s="184"/>
      <c r="CB107" s="184"/>
      <c r="CC107" s="184"/>
      <c r="CD107" s="184"/>
      <c r="CE107" s="184"/>
      <c r="CF107" s="184"/>
      <c r="CG107" s="184"/>
      <c r="CH107" s="184"/>
      <c r="CI107" s="184"/>
      <c r="CJ107" s="184"/>
      <c r="CK107" s="184"/>
      <c r="CL107" s="184"/>
      <c r="CM107" s="184"/>
      <c r="CN107" s="184"/>
      <c r="CO107" s="184"/>
      <c r="CP107" s="184"/>
      <c r="CQ107" s="184"/>
      <c r="CR107" s="184"/>
      <c r="CS107" s="184"/>
      <c r="CT107" s="184"/>
      <c r="CU107" s="184"/>
      <c r="CV107" s="184"/>
      <c r="CW107" s="184"/>
      <c r="CX107" s="184"/>
      <c r="CY107" s="184"/>
      <c r="CZ107" s="184"/>
      <c r="DA107" s="184"/>
      <c r="DB107" s="184"/>
      <c r="DC107" s="184"/>
      <c r="DD107" s="184"/>
      <c r="DE107" s="184"/>
      <c r="DF107" s="184"/>
      <c r="DG107" s="184"/>
      <c r="DH107" s="184"/>
      <c r="DI107" s="184"/>
      <c r="DJ107" s="184"/>
      <c r="DK107" s="184"/>
      <c r="DL107" s="184"/>
      <c r="DM107" s="184"/>
      <c r="DN107" s="184"/>
      <c r="DO107" s="184"/>
      <c r="DP107" s="184"/>
      <c r="DQ107" s="184"/>
      <c r="DR107" s="184"/>
      <c r="DS107" s="184"/>
      <c r="DT107" s="184"/>
      <c r="DU107" s="184"/>
      <c r="DV107" s="184"/>
      <c r="DW107" s="184"/>
      <c r="DX107" s="184"/>
      <c r="DY107" s="184"/>
      <c r="DZ107" s="184"/>
      <c r="EA107" s="224"/>
    </row>
    <row r="108" spans="1:131" ht="12.2" hidden="1" customHeight="1" x14ac:dyDescent="0.2">
      <c r="A108" s="184"/>
      <c r="B108" s="186"/>
      <c r="C108" s="186"/>
      <c r="D108" s="186"/>
      <c r="E108" s="186"/>
      <c r="F108" s="271"/>
      <c r="G108" s="186"/>
      <c r="H108" s="186"/>
      <c r="I108" s="184"/>
      <c r="J108" s="184"/>
      <c r="K108" s="184"/>
      <c r="L108" s="184"/>
      <c r="M108" s="184"/>
      <c r="N108" s="186" t="b">
        <f>IF(Daten!C356=1,"angemesse")</f>
        <v>0</v>
      </c>
      <c r="O108" s="186"/>
      <c r="P108" s="186"/>
      <c r="Q108" s="186"/>
      <c r="R108" s="186"/>
      <c r="S108" s="186"/>
      <c r="T108" s="186"/>
      <c r="U108" s="186"/>
      <c r="V108" s="186"/>
      <c r="W108" s="184" t="str">
        <f>IF(Daten!C356=1,"nheitsgrenze, wenn die KdU angemessen sind.","noch zu prüfen, soweit die KdU angemessen sind.")</f>
        <v>noch zu prüfen, soweit die KdU angemessen sind.</v>
      </c>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c r="AY108" s="186"/>
      <c r="AZ108" s="186"/>
      <c r="BA108" s="186"/>
      <c r="BB108" s="186"/>
      <c r="BC108" s="186"/>
      <c r="BD108" s="186"/>
      <c r="BE108" s="186"/>
      <c r="BF108" s="186"/>
      <c r="BG108" s="186"/>
      <c r="BH108" s="186"/>
      <c r="BI108" s="186"/>
      <c r="BJ108" s="186"/>
      <c r="BK108" s="186"/>
      <c r="BL108" s="186"/>
      <c r="BM108" s="186"/>
      <c r="BN108" s="186"/>
      <c r="BO108" s="186"/>
      <c r="BP108" s="186"/>
      <c r="BQ108" s="186"/>
      <c r="BR108" s="186"/>
      <c r="BS108" s="274"/>
      <c r="BT108" s="186"/>
      <c r="BU108" s="186"/>
      <c r="BV108" s="186"/>
      <c r="BW108" s="186"/>
      <c r="BX108" s="186"/>
      <c r="BY108" s="186"/>
      <c r="BZ108" s="184"/>
      <c r="CA108" s="184"/>
      <c r="CB108" s="184"/>
      <c r="CC108" s="184"/>
      <c r="CD108" s="184"/>
      <c r="CE108" s="184"/>
      <c r="CF108" s="184"/>
      <c r="CG108" s="184"/>
      <c r="CH108" s="184"/>
      <c r="CI108" s="184"/>
      <c r="CJ108" s="184"/>
      <c r="CK108" s="184"/>
      <c r="CL108" s="184"/>
      <c r="CM108" s="184"/>
      <c r="CN108" s="184"/>
      <c r="CO108" s="184"/>
      <c r="CP108" s="184"/>
      <c r="CQ108" s="184"/>
      <c r="CR108" s="184"/>
      <c r="CS108" s="184"/>
      <c r="CT108" s="184"/>
      <c r="CU108" s="184"/>
      <c r="CV108" s="184"/>
      <c r="CW108" s="184"/>
      <c r="CX108" s="184"/>
      <c r="CY108" s="184"/>
      <c r="CZ108" s="184"/>
      <c r="DA108" s="184"/>
      <c r="DB108" s="184"/>
      <c r="DC108" s="184"/>
      <c r="DD108" s="184"/>
      <c r="DE108" s="184"/>
      <c r="DF108" s="184"/>
      <c r="DG108" s="184"/>
      <c r="DH108" s="184"/>
      <c r="DI108" s="184"/>
      <c r="DJ108" s="184"/>
      <c r="DK108" s="184"/>
      <c r="DL108" s="184"/>
      <c r="DM108" s="184"/>
      <c r="DN108" s="184"/>
      <c r="DO108" s="184"/>
      <c r="DP108" s="184"/>
      <c r="DQ108" s="184"/>
      <c r="DR108" s="184"/>
      <c r="DS108" s="184"/>
      <c r="DT108" s="184"/>
      <c r="DU108" s="184"/>
      <c r="DV108" s="184"/>
      <c r="DW108" s="184"/>
      <c r="DX108" s="184"/>
      <c r="DY108" s="184"/>
      <c r="DZ108" s="184"/>
      <c r="EA108" s="224"/>
    </row>
    <row r="109" spans="1:131" ht="6.95" hidden="1" customHeight="1" x14ac:dyDescent="0.2">
      <c r="A109" s="184"/>
      <c r="B109" s="186"/>
      <c r="C109" s="186"/>
      <c r="D109" s="186"/>
      <c r="E109" s="186"/>
      <c r="F109" s="277"/>
      <c r="G109" s="278"/>
      <c r="H109" s="278"/>
      <c r="I109" s="278"/>
      <c r="J109" s="278"/>
      <c r="K109" s="278"/>
      <c r="L109" s="279"/>
      <c r="M109" s="278"/>
      <c r="N109" s="278"/>
      <c r="O109" s="278"/>
      <c r="P109" s="278"/>
      <c r="Q109" s="278"/>
      <c r="R109" s="278"/>
      <c r="S109" s="278"/>
      <c r="T109" s="278"/>
      <c r="U109" s="279"/>
      <c r="V109" s="278"/>
      <c r="W109" s="278"/>
      <c r="X109" s="278"/>
      <c r="Y109" s="278"/>
      <c r="Z109" s="278"/>
      <c r="AA109" s="278"/>
      <c r="AB109" s="278"/>
      <c r="AC109" s="278"/>
      <c r="AD109" s="278"/>
      <c r="AE109" s="278"/>
      <c r="AF109" s="278"/>
      <c r="AG109" s="278"/>
      <c r="AH109" s="278"/>
      <c r="AI109" s="278"/>
      <c r="AJ109" s="278"/>
      <c r="AK109" s="278"/>
      <c r="AL109" s="278"/>
      <c r="AM109" s="278"/>
      <c r="AN109" s="278"/>
      <c r="AO109" s="278"/>
      <c r="AP109" s="278"/>
      <c r="AQ109" s="278"/>
      <c r="AR109" s="278"/>
      <c r="AS109" s="278"/>
      <c r="AT109" s="278"/>
      <c r="AU109" s="278"/>
      <c r="AV109" s="278"/>
      <c r="AW109" s="278"/>
      <c r="AX109" s="278"/>
      <c r="AY109" s="278"/>
      <c r="AZ109" s="278"/>
      <c r="BA109" s="278"/>
      <c r="BB109" s="278"/>
      <c r="BC109" s="278"/>
      <c r="BD109" s="278"/>
      <c r="BE109" s="278"/>
      <c r="BF109" s="278"/>
      <c r="BG109" s="278"/>
      <c r="BH109" s="278"/>
      <c r="BI109" s="278"/>
      <c r="BJ109" s="278"/>
      <c r="BK109" s="278"/>
      <c r="BL109" s="278"/>
      <c r="BM109" s="278"/>
      <c r="BN109" s="278"/>
      <c r="BO109" s="278"/>
      <c r="BP109" s="278"/>
      <c r="BQ109" s="278"/>
      <c r="BR109" s="278"/>
      <c r="BS109" s="280"/>
      <c r="BT109" s="186"/>
      <c r="BU109" s="186"/>
      <c r="BV109" s="186"/>
      <c r="BW109" s="186"/>
      <c r="BX109" s="186"/>
      <c r="BY109" s="186"/>
      <c r="BZ109" s="184"/>
      <c r="CA109" s="184"/>
      <c r="CB109" s="184"/>
      <c r="CC109" s="184"/>
      <c r="CD109" s="184"/>
      <c r="CE109" s="184"/>
      <c r="CF109" s="184"/>
      <c r="CG109" s="184"/>
      <c r="CH109" s="184"/>
      <c r="CI109" s="184"/>
      <c r="CJ109" s="184"/>
      <c r="CK109" s="184"/>
      <c r="CL109" s="184"/>
      <c r="CM109" s="184"/>
      <c r="CN109" s="184"/>
      <c r="CO109" s="184"/>
      <c r="CP109" s="184"/>
      <c r="CQ109" s="184"/>
      <c r="CR109" s="184"/>
      <c r="CS109" s="184"/>
      <c r="CT109" s="184"/>
      <c r="CU109" s="184"/>
      <c r="CV109" s="184"/>
      <c r="CW109" s="184"/>
      <c r="CX109" s="184"/>
      <c r="CY109" s="184"/>
      <c r="CZ109" s="184"/>
      <c r="DA109" s="184"/>
      <c r="DB109" s="184"/>
      <c r="DC109" s="184"/>
      <c r="DD109" s="184"/>
      <c r="DE109" s="184"/>
      <c r="DF109" s="184"/>
      <c r="DG109" s="184"/>
      <c r="DH109" s="184"/>
      <c r="DI109" s="184"/>
      <c r="DJ109" s="184"/>
      <c r="DK109" s="184"/>
      <c r="DL109" s="184"/>
      <c r="DM109" s="184"/>
      <c r="DN109" s="184"/>
      <c r="DO109" s="184"/>
      <c r="DP109" s="184"/>
      <c r="DQ109" s="184"/>
      <c r="DR109" s="184"/>
      <c r="DS109" s="184"/>
      <c r="DT109" s="184"/>
      <c r="DU109" s="184"/>
      <c r="DV109" s="184"/>
      <c r="DW109" s="184"/>
      <c r="DX109" s="184"/>
      <c r="DY109" s="184"/>
      <c r="DZ109" s="184"/>
      <c r="EA109" s="224"/>
    </row>
    <row r="110" spans="1:131" ht="12.75" hidden="1" customHeight="1" x14ac:dyDescent="0.2">
      <c r="A110" s="184"/>
      <c r="B110" s="186"/>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c r="AZ110" s="186"/>
      <c r="BA110" s="186"/>
      <c r="BB110" s="186"/>
      <c r="BC110" s="186"/>
      <c r="BD110" s="186"/>
      <c r="BE110" s="186"/>
      <c r="BF110" s="186"/>
      <c r="BG110" s="186"/>
      <c r="BH110" s="186"/>
      <c r="BI110" s="186"/>
      <c r="BJ110" s="186"/>
      <c r="BK110" s="186"/>
      <c r="BL110" s="186"/>
      <c r="BM110" s="186"/>
      <c r="BN110" s="186"/>
      <c r="BO110" s="186"/>
      <c r="BP110" s="186"/>
      <c r="BQ110" s="186"/>
      <c r="BR110" s="186"/>
      <c r="BS110" s="186"/>
      <c r="BT110" s="186"/>
      <c r="BU110" s="186"/>
      <c r="BV110" s="186"/>
      <c r="BW110" s="186"/>
      <c r="BX110" s="186"/>
      <c r="BY110" s="186"/>
      <c r="BZ110" s="184"/>
      <c r="CA110" s="184"/>
      <c r="CB110" s="184"/>
      <c r="CC110" s="184"/>
      <c r="CD110" s="184"/>
      <c r="CE110" s="184"/>
      <c r="CF110" s="184"/>
      <c r="CG110" s="184"/>
      <c r="CH110" s="184"/>
      <c r="CI110" s="184"/>
      <c r="CJ110" s="184"/>
      <c r="CK110" s="184"/>
      <c r="CL110" s="184"/>
      <c r="CM110" s="184"/>
      <c r="CN110" s="184"/>
      <c r="CO110" s="184"/>
      <c r="CP110" s="184"/>
      <c r="CQ110" s="184"/>
      <c r="CR110" s="184"/>
      <c r="CS110" s="184"/>
      <c r="CT110" s="184"/>
      <c r="CU110" s="184"/>
      <c r="CV110" s="184"/>
      <c r="CW110" s="184"/>
      <c r="CX110" s="184"/>
      <c r="CY110" s="184"/>
      <c r="CZ110" s="184"/>
      <c r="DA110" s="184"/>
      <c r="DB110" s="184"/>
      <c r="DC110" s="184"/>
      <c r="DD110" s="184"/>
      <c r="DE110" s="184"/>
      <c r="DF110" s="184"/>
      <c r="DG110" s="184"/>
      <c r="DH110" s="184"/>
      <c r="DI110" s="184"/>
      <c r="DJ110" s="184"/>
      <c r="DK110" s="184"/>
      <c r="DL110" s="184"/>
      <c r="DM110" s="184"/>
      <c r="DN110" s="184"/>
      <c r="DO110" s="184"/>
      <c r="DP110" s="184"/>
      <c r="DQ110" s="184"/>
      <c r="DR110" s="184"/>
      <c r="DS110" s="184"/>
      <c r="DT110" s="184"/>
      <c r="DU110" s="184"/>
      <c r="DV110" s="184"/>
      <c r="DW110" s="184"/>
      <c r="DX110" s="184"/>
      <c r="DY110" s="184"/>
      <c r="DZ110" s="184"/>
      <c r="EA110" s="224"/>
    </row>
    <row r="111" spans="1:131" ht="15.95" hidden="1" customHeight="1" x14ac:dyDescent="0.25">
      <c r="A111" s="184"/>
      <c r="B111" s="263" t="s">
        <v>901</v>
      </c>
      <c r="C111" s="264"/>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64"/>
      <c r="AJ111" s="264"/>
      <c r="AK111" s="264"/>
      <c r="AL111" s="264"/>
      <c r="AM111" s="264"/>
      <c r="AN111" s="264"/>
      <c r="AO111" s="264"/>
      <c r="AP111" s="264"/>
      <c r="AQ111" s="264"/>
      <c r="AR111" s="264"/>
      <c r="AS111" s="264"/>
      <c r="AT111" s="264"/>
      <c r="AU111" s="264"/>
      <c r="AV111" s="264"/>
      <c r="AW111" s="264"/>
      <c r="AX111" s="264"/>
      <c r="AY111" s="264"/>
      <c r="AZ111" s="264"/>
      <c r="BA111" s="264"/>
      <c r="BB111" s="264"/>
      <c r="BC111" s="264"/>
      <c r="BD111" s="264"/>
      <c r="BE111" s="264"/>
      <c r="BF111" s="264"/>
      <c r="BG111" s="264"/>
      <c r="BH111" s="264"/>
      <c r="BI111" s="264"/>
      <c r="BJ111" s="264"/>
      <c r="BK111" s="264"/>
      <c r="BL111" s="264"/>
      <c r="BM111" s="264"/>
      <c r="BN111" s="264"/>
      <c r="BO111" s="264"/>
      <c r="BP111" s="264"/>
      <c r="BQ111" s="264"/>
      <c r="BR111" s="264"/>
      <c r="BS111" s="264"/>
      <c r="BT111" s="264"/>
      <c r="BU111" s="264"/>
      <c r="BV111" s="264"/>
      <c r="BW111" s="264"/>
      <c r="BX111" s="264"/>
      <c r="BY111" s="264"/>
      <c r="BZ111" s="184"/>
      <c r="CA111" s="184"/>
      <c r="CB111" s="184"/>
      <c r="CC111" s="184"/>
      <c r="CD111" s="184"/>
      <c r="CE111" s="184"/>
      <c r="CF111" s="184"/>
      <c r="CG111" s="184"/>
      <c r="CH111" s="184"/>
      <c r="CI111" s="184"/>
      <c r="CJ111" s="184"/>
      <c r="CK111" s="184"/>
      <c r="CL111" s="184"/>
      <c r="CM111" s="184"/>
      <c r="CN111" s="184"/>
      <c r="CO111" s="184"/>
      <c r="CP111" s="184"/>
      <c r="CQ111" s="184"/>
      <c r="CR111" s="184"/>
      <c r="CS111" s="184"/>
      <c r="CT111" s="184"/>
      <c r="CU111" s="184"/>
      <c r="CV111" s="184"/>
      <c r="CW111" s="184"/>
      <c r="CX111" s="184"/>
      <c r="CY111" s="184"/>
      <c r="CZ111" s="184"/>
      <c r="DA111" s="184"/>
      <c r="DB111" s="184"/>
      <c r="DC111" s="184"/>
      <c r="DD111" s="184"/>
      <c r="DE111" s="184"/>
      <c r="DF111" s="184"/>
      <c r="DG111" s="184"/>
      <c r="DH111" s="184"/>
      <c r="DI111" s="184"/>
      <c r="DJ111" s="184"/>
      <c r="DK111" s="184"/>
      <c r="DL111" s="184"/>
      <c r="DM111" s="184"/>
      <c r="DN111" s="184"/>
      <c r="DO111" s="184"/>
      <c r="DP111" s="184"/>
      <c r="DQ111" s="184"/>
      <c r="DR111" s="184"/>
      <c r="DS111" s="184"/>
      <c r="DT111" s="184"/>
      <c r="DU111" s="184"/>
      <c r="DV111" s="184"/>
      <c r="DW111" s="184"/>
      <c r="DX111" s="184"/>
      <c r="DY111" s="184"/>
      <c r="DZ111" s="184"/>
      <c r="EA111" s="224"/>
    </row>
    <row r="112" spans="1:131" ht="10.15" hidden="1" customHeight="1" x14ac:dyDescent="0.2">
      <c r="A112" s="184"/>
      <c r="B112" s="184"/>
      <c r="C112" s="184"/>
      <c r="D112" s="184"/>
      <c r="E112" s="184"/>
      <c r="F112" s="184"/>
      <c r="G112" s="184"/>
      <c r="H112" s="184"/>
      <c r="I112" s="184"/>
      <c r="J112" s="184"/>
      <c r="K112" s="184"/>
      <c r="L112" s="184"/>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c r="AI112" s="184"/>
      <c r="AJ112" s="184"/>
      <c r="AK112" s="184"/>
      <c r="AL112" s="184"/>
      <c r="AM112" s="186"/>
      <c r="AN112" s="186"/>
      <c r="AO112" s="184"/>
      <c r="AP112" s="184"/>
      <c r="AQ112" s="184"/>
      <c r="AR112" s="184"/>
      <c r="AS112" s="184"/>
      <c r="AT112" s="184"/>
      <c r="AU112" s="184"/>
      <c r="AV112" s="184"/>
      <c r="AW112" s="184"/>
      <c r="AX112" s="184"/>
      <c r="AY112" s="184"/>
      <c r="AZ112" s="184"/>
      <c r="BA112" s="184"/>
      <c r="BB112" s="184"/>
      <c r="BC112" s="184"/>
      <c r="BD112" s="184"/>
      <c r="BE112" s="184"/>
      <c r="BF112" s="184"/>
      <c r="BG112" s="184"/>
      <c r="BH112" s="184"/>
      <c r="BI112" s="184"/>
      <c r="BJ112" s="184"/>
      <c r="BK112" s="184"/>
      <c r="BL112" s="184"/>
      <c r="BM112" s="184"/>
      <c r="BN112" s="184"/>
      <c r="BO112" s="184"/>
      <c r="BP112" s="184"/>
      <c r="BQ112" s="184"/>
      <c r="BR112" s="184"/>
      <c r="BS112" s="184"/>
      <c r="BT112" s="184"/>
      <c r="BU112" s="184"/>
      <c r="BV112" s="184"/>
      <c r="BW112" s="184"/>
      <c r="BX112" s="184"/>
      <c r="BY112" s="184"/>
      <c r="BZ112" s="184"/>
      <c r="CA112" s="184"/>
      <c r="CB112" s="184"/>
      <c r="CC112" s="184"/>
      <c r="CD112" s="184"/>
      <c r="CE112" s="184"/>
      <c r="CF112" s="184"/>
      <c r="CG112" s="184"/>
      <c r="CH112" s="184"/>
      <c r="CI112" s="184"/>
      <c r="CJ112" s="184"/>
      <c r="CK112" s="184"/>
      <c r="CL112" s="184"/>
      <c r="CM112" s="184"/>
      <c r="CN112" s="184"/>
      <c r="CO112" s="184"/>
      <c r="CP112" s="184"/>
      <c r="CQ112" s="184"/>
      <c r="CR112" s="184"/>
      <c r="CS112" s="184"/>
      <c r="CT112" s="184"/>
      <c r="CU112" s="184"/>
      <c r="CV112" s="184"/>
      <c r="CW112" s="184"/>
      <c r="CX112" s="184"/>
      <c r="CY112" s="184"/>
      <c r="CZ112" s="184"/>
      <c r="DA112" s="184"/>
      <c r="DB112" s="184"/>
      <c r="DC112" s="184"/>
      <c r="DD112" s="184"/>
      <c r="DE112" s="184"/>
      <c r="DF112" s="184"/>
      <c r="DG112" s="184"/>
      <c r="DH112" s="184"/>
      <c r="DI112" s="184"/>
      <c r="DJ112" s="184"/>
      <c r="DK112" s="184"/>
      <c r="DL112" s="184"/>
      <c r="DM112" s="184"/>
      <c r="DN112" s="184"/>
      <c r="DO112" s="184"/>
      <c r="DP112" s="184"/>
      <c r="DQ112" s="184"/>
      <c r="DR112" s="184"/>
      <c r="DS112" s="184"/>
      <c r="DT112" s="184"/>
      <c r="DU112" s="184"/>
      <c r="DV112" s="184"/>
      <c r="DW112" s="184"/>
      <c r="DX112" s="184"/>
      <c r="DY112" s="184"/>
      <c r="DZ112" s="184"/>
      <c r="EA112" s="224"/>
    </row>
    <row r="113" spans="1:131" ht="5.0999999999999996" hidden="1" customHeight="1" x14ac:dyDescent="0.2">
      <c r="A113" s="184"/>
      <c r="B113" s="184"/>
      <c r="C113" s="184"/>
      <c r="D113" s="184"/>
      <c r="E113" s="184"/>
      <c r="F113" s="184"/>
      <c r="G113" s="184"/>
      <c r="H113" s="184"/>
      <c r="I113" s="184"/>
      <c r="J113" s="235"/>
      <c r="K113" s="236"/>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307"/>
      <c r="AN113" s="307"/>
      <c r="AO113" s="236"/>
      <c r="AP113" s="236"/>
      <c r="AQ113" s="236"/>
      <c r="AR113" s="236"/>
      <c r="AS113" s="236"/>
      <c r="AT113" s="236"/>
      <c r="AU113" s="236"/>
      <c r="AV113" s="236"/>
      <c r="AW113" s="236"/>
      <c r="AX113" s="236"/>
      <c r="AY113" s="236"/>
      <c r="AZ113" s="236"/>
      <c r="BA113" s="236"/>
      <c r="BB113" s="236"/>
      <c r="BC113" s="236"/>
      <c r="BD113" s="236"/>
      <c r="BE113" s="236"/>
      <c r="BF113" s="236"/>
      <c r="BG113" s="236"/>
      <c r="BH113" s="236"/>
      <c r="BI113" s="236"/>
      <c r="BJ113" s="236"/>
      <c r="BK113" s="236"/>
      <c r="BL113" s="236"/>
      <c r="BM113" s="236"/>
      <c r="BN113" s="236"/>
      <c r="BO113" s="236"/>
      <c r="BP113" s="236"/>
      <c r="BQ113" s="236"/>
      <c r="BR113" s="308"/>
      <c r="BS113" s="184"/>
      <c r="BT113" s="184"/>
      <c r="BU113" s="184"/>
      <c r="BV113" s="184"/>
      <c r="BW113" s="184"/>
      <c r="BX113" s="184"/>
      <c r="BY113" s="184"/>
      <c r="BZ113" s="184"/>
      <c r="CA113" s="184"/>
      <c r="CB113" s="184"/>
      <c r="CC113" s="184"/>
      <c r="CD113" s="184"/>
      <c r="CE113" s="184"/>
      <c r="CF113" s="184"/>
      <c r="CG113" s="184"/>
      <c r="CH113" s="184"/>
      <c r="CI113" s="184"/>
      <c r="CJ113" s="184"/>
      <c r="CK113" s="184"/>
      <c r="CL113" s="184"/>
      <c r="CM113" s="184"/>
      <c r="CN113" s="184"/>
      <c r="CO113" s="184"/>
      <c r="CP113" s="184"/>
      <c r="CQ113" s="184"/>
      <c r="CR113" s="184"/>
      <c r="CS113" s="184"/>
      <c r="CT113" s="184"/>
      <c r="CU113" s="184"/>
      <c r="CV113" s="184"/>
      <c r="CW113" s="184"/>
      <c r="CX113" s="184"/>
      <c r="CY113" s="184"/>
      <c r="CZ113" s="184"/>
      <c r="DA113" s="184"/>
      <c r="DB113" s="184"/>
      <c r="DC113" s="184"/>
      <c r="DD113" s="184"/>
      <c r="DE113" s="184"/>
      <c r="DF113" s="184"/>
      <c r="DG113" s="184"/>
      <c r="DH113" s="184"/>
      <c r="DI113" s="184"/>
      <c r="DJ113" s="184"/>
      <c r="DK113" s="184"/>
      <c r="DL113" s="184"/>
      <c r="DM113" s="184"/>
      <c r="DN113" s="184"/>
      <c r="DO113" s="184"/>
      <c r="DP113" s="184"/>
      <c r="DQ113" s="184"/>
      <c r="DR113" s="184"/>
      <c r="DS113" s="184"/>
      <c r="DT113" s="184"/>
      <c r="DU113" s="184"/>
      <c r="DV113" s="184"/>
      <c r="DW113" s="184"/>
      <c r="DX113" s="184"/>
      <c r="DY113" s="184"/>
      <c r="DZ113" s="184"/>
      <c r="EA113" s="224"/>
    </row>
    <row r="114" spans="1:131" ht="12.2" hidden="1" customHeight="1" x14ac:dyDescent="0.2">
      <c r="A114" s="184"/>
      <c r="B114" s="186"/>
      <c r="C114" s="186"/>
      <c r="D114" s="186"/>
      <c r="E114" s="186"/>
      <c r="F114" s="186"/>
      <c r="G114" s="184"/>
      <c r="H114" s="186"/>
      <c r="I114" s="186"/>
      <c r="J114" s="253"/>
      <c r="K114" s="225"/>
      <c r="L114" s="227" t="s">
        <v>888</v>
      </c>
      <c r="M114" s="227"/>
      <c r="N114" s="225"/>
      <c r="O114" s="227"/>
      <c r="P114" s="227"/>
      <c r="Q114" s="227"/>
      <c r="R114" s="227"/>
      <c r="S114" s="227"/>
      <c r="T114" s="227"/>
      <c r="U114" s="225"/>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227"/>
      <c r="AS114" s="225"/>
      <c r="AT114" s="225"/>
      <c r="AU114" s="225"/>
      <c r="AV114" s="225"/>
      <c r="AW114" s="225"/>
      <c r="AX114" s="225"/>
      <c r="AY114" s="225"/>
      <c r="AZ114" s="225"/>
      <c r="BA114" s="225"/>
      <c r="BB114" s="654" t="e">
        <f>Daten!E521</f>
        <v>#N/A</v>
      </c>
      <c r="BC114" s="655"/>
      <c r="BD114" s="655"/>
      <c r="BE114" s="655"/>
      <c r="BF114" s="655"/>
      <c r="BG114" s="655"/>
      <c r="BH114" s="655"/>
      <c r="BI114" s="655"/>
      <c r="BJ114" s="655"/>
      <c r="BK114" s="655"/>
      <c r="BL114" s="655"/>
      <c r="BM114" s="225"/>
      <c r="BN114" s="234" t="s">
        <v>853</v>
      </c>
      <c r="BO114" s="225"/>
      <c r="BP114" s="225"/>
      <c r="BQ114" s="225"/>
      <c r="BR114" s="309"/>
      <c r="BS114" s="223"/>
      <c r="BT114" s="223"/>
      <c r="BU114" s="223"/>
      <c r="BV114" s="223"/>
      <c r="BW114" s="223"/>
      <c r="BX114" s="186"/>
      <c r="BY114" s="186"/>
      <c r="BZ114" s="184"/>
      <c r="CA114" s="184"/>
      <c r="CB114" s="184"/>
      <c r="CC114" s="184"/>
      <c r="CD114" s="184"/>
      <c r="CE114" s="184"/>
      <c r="CF114" s="184"/>
      <c r="CG114" s="184"/>
      <c r="CH114" s="184"/>
      <c r="CI114" s="184"/>
      <c r="CJ114" s="184"/>
      <c r="CK114" s="184"/>
      <c r="CL114" s="184"/>
      <c r="CM114" s="184"/>
      <c r="CN114" s="184"/>
      <c r="CO114" s="184"/>
      <c r="CP114" s="184"/>
      <c r="CQ114" s="184"/>
      <c r="CR114" s="184"/>
      <c r="CS114" s="184"/>
      <c r="CT114" s="184"/>
      <c r="CU114" s="184"/>
      <c r="CV114" s="184"/>
      <c r="CW114" s="184"/>
      <c r="CX114" s="184"/>
      <c r="CY114" s="184"/>
      <c r="CZ114" s="184"/>
      <c r="DA114" s="184"/>
      <c r="DB114" s="184"/>
      <c r="DC114" s="184"/>
      <c r="DD114" s="184"/>
      <c r="DE114" s="184"/>
      <c r="DF114" s="184"/>
      <c r="DG114" s="184"/>
      <c r="DH114" s="184"/>
      <c r="DI114" s="184"/>
      <c r="DJ114" s="184"/>
      <c r="DK114" s="184"/>
      <c r="DL114" s="184"/>
      <c r="DM114" s="184"/>
      <c r="DN114" s="184"/>
      <c r="DO114" s="184"/>
      <c r="DP114" s="184"/>
      <c r="DQ114" s="184"/>
      <c r="DR114" s="184"/>
      <c r="DS114" s="184"/>
      <c r="DT114" s="184"/>
      <c r="DU114" s="184"/>
      <c r="DV114" s="184"/>
      <c r="DW114" s="184"/>
      <c r="DX114" s="184"/>
      <c r="DY114" s="184"/>
      <c r="DZ114" s="184"/>
      <c r="EA114" s="224"/>
    </row>
    <row r="115" spans="1:131" ht="3.2" hidden="1" customHeight="1" x14ac:dyDescent="0.2">
      <c r="A115" s="184"/>
      <c r="B115" s="186"/>
      <c r="C115" s="186"/>
      <c r="D115" s="186"/>
      <c r="E115" s="186"/>
      <c r="F115" s="186"/>
      <c r="G115" s="186"/>
      <c r="H115" s="186"/>
      <c r="I115" s="186"/>
      <c r="J115" s="239"/>
      <c r="K115" s="227"/>
      <c r="L115" s="227"/>
      <c r="M115" s="227"/>
      <c r="N115" s="227"/>
      <c r="O115" s="227"/>
      <c r="P115" s="227"/>
      <c r="Q115" s="227"/>
      <c r="R115" s="227"/>
      <c r="S115" s="227"/>
      <c r="T115" s="227"/>
      <c r="U115" s="227"/>
      <c r="V115" s="227"/>
      <c r="W115" s="227"/>
      <c r="X115" s="227"/>
      <c r="Y115" s="227"/>
      <c r="Z115" s="233"/>
      <c r="AA115" s="234"/>
      <c r="AB115" s="234"/>
      <c r="AC115" s="234"/>
      <c r="AD115" s="234"/>
      <c r="AE115" s="234"/>
      <c r="AF115" s="234"/>
      <c r="AG115" s="234"/>
      <c r="AH115" s="234"/>
      <c r="AI115" s="234"/>
      <c r="AJ115" s="234"/>
      <c r="AK115" s="227"/>
      <c r="AL115" s="227"/>
      <c r="AM115" s="227"/>
      <c r="AN115" s="227"/>
      <c r="AO115" s="227"/>
      <c r="AP115" s="227"/>
      <c r="AQ115" s="227"/>
      <c r="AR115" s="227"/>
      <c r="AS115" s="227"/>
      <c r="AT115" s="227"/>
      <c r="AU115" s="227"/>
      <c r="AV115" s="227"/>
      <c r="AW115" s="227"/>
      <c r="AX115" s="227"/>
      <c r="AY115" s="227"/>
      <c r="AZ115" s="227"/>
      <c r="BA115" s="227"/>
      <c r="BB115" s="225"/>
      <c r="BC115" s="225"/>
      <c r="BD115" s="225"/>
      <c r="BE115" s="225"/>
      <c r="BF115" s="225"/>
      <c r="BG115" s="225"/>
      <c r="BH115" s="225"/>
      <c r="BI115" s="225"/>
      <c r="BJ115" s="225"/>
      <c r="BK115" s="225"/>
      <c r="BL115" s="225"/>
      <c r="BM115" s="225"/>
      <c r="BN115" s="225"/>
      <c r="BO115" s="234"/>
      <c r="BP115" s="234"/>
      <c r="BQ115" s="234"/>
      <c r="BR115" s="309"/>
      <c r="BS115" s="223"/>
      <c r="BT115" s="223"/>
      <c r="BU115" s="223"/>
      <c r="BV115" s="223"/>
      <c r="BW115" s="223"/>
      <c r="BX115" s="186"/>
      <c r="BY115" s="186"/>
      <c r="BZ115" s="184"/>
      <c r="CA115" s="184"/>
      <c r="CB115" s="184"/>
      <c r="CC115" s="184"/>
      <c r="CD115" s="184"/>
      <c r="CE115" s="184"/>
      <c r="CF115" s="184"/>
      <c r="CG115" s="184"/>
      <c r="CH115" s="184"/>
      <c r="CI115" s="184"/>
      <c r="CJ115" s="184"/>
      <c r="CK115" s="184"/>
      <c r="CL115" s="184"/>
      <c r="CM115" s="184"/>
      <c r="CN115" s="184"/>
      <c r="CO115" s="184"/>
      <c r="CP115" s="184"/>
      <c r="CQ115" s="184"/>
      <c r="CR115" s="184"/>
      <c r="CS115" s="184"/>
      <c r="CT115" s="184"/>
      <c r="CU115" s="184"/>
      <c r="CV115" s="184"/>
      <c r="CW115" s="184"/>
      <c r="CX115" s="184"/>
      <c r="CY115" s="184"/>
      <c r="CZ115" s="184"/>
      <c r="DA115" s="184"/>
      <c r="DB115" s="184"/>
      <c r="DC115" s="184"/>
      <c r="DD115" s="184"/>
      <c r="DE115" s="184"/>
      <c r="DF115" s="184"/>
      <c r="DG115" s="184"/>
      <c r="DH115" s="184"/>
      <c r="DI115" s="184"/>
      <c r="DJ115" s="184"/>
      <c r="DK115" s="184"/>
      <c r="DL115" s="184"/>
      <c r="DM115" s="184"/>
      <c r="DN115" s="184"/>
      <c r="DO115" s="184"/>
      <c r="DP115" s="184"/>
      <c r="DQ115" s="184"/>
      <c r="DR115" s="184"/>
      <c r="DS115" s="184"/>
      <c r="DT115" s="184"/>
      <c r="DU115" s="184"/>
      <c r="DV115" s="184"/>
      <c r="DW115" s="184"/>
      <c r="DX115" s="184"/>
      <c r="DY115" s="184"/>
      <c r="DZ115" s="184"/>
      <c r="EA115" s="224"/>
    </row>
    <row r="116" spans="1:131" ht="12.2" hidden="1" customHeight="1" x14ac:dyDescent="0.2">
      <c r="A116" s="184"/>
      <c r="B116" s="186"/>
      <c r="C116" s="186"/>
      <c r="D116" s="186"/>
      <c r="E116" s="186"/>
      <c r="F116" s="186"/>
      <c r="G116" s="186"/>
      <c r="H116" s="186"/>
      <c r="I116" s="186"/>
      <c r="J116" s="253"/>
      <c r="K116" s="225"/>
      <c r="L116" s="227" t="s">
        <v>889</v>
      </c>
      <c r="M116" s="227"/>
      <c r="N116" s="227"/>
      <c r="O116" s="227"/>
      <c r="P116" s="227"/>
      <c r="Q116" s="227"/>
      <c r="R116" s="227"/>
      <c r="S116" s="227"/>
      <c r="T116" s="227"/>
      <c r="U116" s="225"/>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5"/>
      <c r="AT116" s="225"/>
      <c r="AU116" s="225"/>
      <c r="AV116" s="225"/>
      <c r="AW116" s="225"/>
      <c r="AX116" s="225"/>
      <c r="AY116" s="225"/>
      <c r="AZ116" s="225"/>
      <c r="BA116" s="225"/>
      <c r="BB116" s="654">
        <f>Daten!E520</f>
        <v>0</v>
      </c>
      <c r="BC116" s="655"/>
      <c r="BD116" s="655"/>
      <c r="BE116" s="655"/>
      <c r="BF116" s="655"/>
      <c r="BG116" s="655"/>
      <c r="BH116" s="655"/>
      <c r="BI116" s="655"/>
      <c r="BJ116" s="655"/>
      <c r="BK116" s="655"/>
      <c r="BL116" s="655"/>
      <c r="BM116" s="225"/>
      <c r="BN116" s="234" t="s">
        <v>853</v>
      </c>
      <c r="BO116" s="225"/>
      <c r="BP116" s="225"/>
      <c r="BQ116" s="234"/>
      <c r="BR116" s="309"/>
      <c r="BS116" s="223"/>
      <c r="BT116" s="223"/>
      <c r="BU116" s="223"/>
      <c r="BV116" s="223"/>
      <c r="BW116" s="223"/>
      <c r="BX116" s="186"/>
      <c r="BY116" s="186"/>
      <c r="BZ116" s="184"/>
      <c r="CA116" s="184"/>
      <c r="CB116" s="184"/>
      <c r="CC116" s="184"/>
      <c r="CD116" s="184"/>
      <c r="CE116" s="184"/>
      <c r="CF116" s="184"/>
      <c r="CG116" s="184"/>
      <c r="CH116" s="184"/>
      <c r="CI116" s="184"/>
      <c r="CJ116" s="184"/>
      <c r="CK116" s="184"/>
      <c r="CL116" s="184"/>
      <c r="CM116" s="184"/>
      <c r="CN116" s="184"/>
      <c r="CO116" s="184"/>
      <c r="CP116" s="184"/>
      <c r="CQ116" s="184"/>
      <c r="CR116" s="184"/>
      <c r="CS116" s="184"/>
      <c r="CT116" s="184"/>
      <c r="CU116" s="184"/>
      <c r="CV116" s="184"/>
      <c r="CW116" s="184"/>
      <c r="CX116" s="184"/>
      <c r="CY116" s="184"/>
      <c r="CZ116" s="184"/>
      <c r="DA116" s="184"/>
      <c r="DB116" s="184"/>
      <c r="DC116" s="184"/>
      <c r="DD116" s="184"/>
      <c r="DE116" s="184"/>
      <c r="DF116" s="184"/>
      <c r="DG116" s="184"/>
      <c r="DH116" s="184"/>
      <c r="DI116" s="184"/>
      <c r="DJ116" s="184"/>
      <c r="DK116" s="184"/>
      <c r="DL116" s="184"/>
      <c r="DM116" s="184"/>
      <c r="DN116" s="184"/>
      <c r="DO116" s="184"/>
      <c r="DP116" s="184"/>
      <c r="DQ116" s="184"/>
      <c r="DR116" s="184"/>
      <c r="DS116" s="184"/>
      <c r="DT116" s="184"/>
      <c r="DU116" s="184"/>
      <c r="DV116" s="184"/>
      <c r="DW116" s="184"/>
      <c r="DX116" s="184"/>
      <c r="DY116" s="184"/>
      <c r="DZ116" s="184"/>
      <c r="EA116" s="224"/>
    </row>
    <row r="117" spans="1:131" ht="3.2" hidden="1" customHeight="1" x14ac:dyDescent="0.2">
      <c r="A117" s="184"/>
      <c r="B117" s="186"/>
      <c r="C117" s="186"/>
      <c r="D117" s="186"/>
      <c r="E117" s="186"/>
      <c r="F117" s="186"/>
      <c r="G117" s="186"/>
      <c r="H117" s="186"/>
      <c r="I117" s="186"/>
      <c r="J117" s="239"/>
      <c r="K117" s="227"/>
      <c r="L117" s="227"/>
      <c r="M117" s="227"/>
      <c r="N117" s="227"/>
      <c r="O117" s="227"/>
      <c r="P117" s="227"/>
      <c r="Q117" s="227"/>
      <c r="R117" s="227"/>
      <c r="S117" s="227"/>
      <c r="T117" s="227"/>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34"/>
      <c r="BP117" s="234"/>
      <c r="BQ117" s="234"/>
      <c r="BR117" s="309"/>
      <c r="BS117" s="223"/>
      <c r="BT117" s="223"/>
      <c r="BU117" s="223"/>
      <c r="BV117" s="223"/>
      <c r="BW117" s="223"/>
      <c r="BX117" s="186"/>
      <c r="BY117" s="186"/>
      <c r="BZ117" s="184"/>
      <c r="CA117" s="184"/>
      <c r="CB117" s="184"/>
      <c r="CC117" s="184"/>
      <c r="CD117" s="184"/>
      <c r="CE117" s="184"/>
      <c r="CF117" s="184"/>
      <c r="CG117" s="184"/>
      <c r="CH117" s="184"/>
      <c r="CI117" s="184"/>
      <c r="CJ117" s="184"/>
      <c r="CK117" s="184"/>
      <c r="CL117" s="184"/>
      <c r="CM117" s="184"/>
      <c r="CN117" s="184"/>
      <c r="CO117" s="184"/>
      <c r="CP117" s="184"/>
      <c r="CQ117" s="184"/>
      <c r="CR117" s="184"/>
      <c r="CS117" s="184"/>
      <c r="CT117" s="184"/>
      <c r="CU117" s="184"/>
      <c r="CV117" s="184"/>
      <c r="CW117" s="184"/>
      <c r="CX117" s="184"/>
      <c r="CY117" s="184"/>
      <c r="CZ117" s="184"/>
      <c r="DA117" s="184"/>
      <c r="DB117" s="184"/>
      <c r="DC117" s="184"/>
      <c r="DD117" s="184"/>
      <c r="DE117" s="184"/>
      <c r="DF117" s="184"/>
      <c r="DG117" s="184"/>
      <c r="DH117" s="184"/>
      <c r="DI117" s="184"/>
      <c r="DJ117" s="184"/>
      <c r="DK117" s="184"/>
      <c r="DL117" s="184"/>
      <c r="DM117" s="184"/>
      <c r="DN117" s="184"/>
      <c r="DO117" s="184"/>
      <c r="DP117" s="184"/>
      <c r="DQ117" s="184"/>
      <c r="DR117" s="184"/>
      <c r="DS117" s="184"/>
      <c r="DT117" s="184"/>
      <c r="DU117" s="184"/>
      <c r="DV117" s="184"/>
      <c r="DW117" s="184"/>
      <c r="DX117" s="184"/>
      <c r="DY117" s="184"/>
      <c r="DZ117" s="184"/>
      <c r="EA117" s="224"/>
    </row>
    <row r="118" spans="1:131" ht="3.2" hidden="1" customHeight="1" x14ac:dyDescent="0.2">
      <c r="A118" s="184"/>
      <c r="B118" s="186"/>
      <c r="C118" s="186"/>
      <c r="D118" s="186"/>
      <c r="E118" s="186"/>
      <c r="F118" s="186"/>
      <c r="G118" s="186"/>
      <c r="H118" s="186"/>
      <c r="I118" s="186"/>
      <c r="J118" s="239"/>
      <c r="K118" s="227"/>
      <c r="L118" s="227"/>
      <c r="M118" s="227"/>
      <c r="N118" s="227"/>
      <c r="O118" s="227"/>
      <c r="P118" s="227"/>
      <c r="Q118" s="227"/>
      <c r="R118" s="227"/>
      <c r="S118" s="227"/>
      <c r="T118" s="227"/>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34"/>
      <c r="BP118" s="234"/>
      <c r="BQ118" s="234"/>
      <c r="BR118" s="309"/>
      <c r="BS118" s="223"/>
      <c r="BT118" s="223"/>
      <c r="BU118" s="223"/>
      <c r="BV118" s="223"/>
      <c r="BW118" s="223"/>
      <c r="BX118" s="186"/>
      <c r="BY118" s="186"/>
      <c r="BZ118" s="184"/>
      <c r="CA118" s="184"/>
      <c r="CB118" s="184"/>
      <c r="CC118" s="184"/>
      <c r="CD118" s="184"/>
      <c r="CE118" s="184"/>
      <c r="CF118" s="184"/>
      <c r="CG118" s="184"/>
      <c r="CH118" s="184"/>
      <c r="CI118" s="184"/>
      <c r="CJ118" s="184"/>
      <c r="CK118" s="184"/>
      <c r="CL118" s="184"/>
      <c r="CM118" s="184"/>
      <c r="CN118" s="184"/>
      <c r="CO118" s="184"/>
      <c r="CP118" s="184"/>
      <c r="CQ118" s="184"/>
      <c r="CR118" s="184"/>
      <c r="CS118" s="184"/>
      <c r="CT118" s="184"/>
      <c r="CU118" s="184"/>
      <c r="CV118" s="184"/>
      <c r="CW118" s="184"/>
      <c r="CX118" s="184"/>
      <c r="CY118" s="184"/>
      <c r="CZ118" s="184"/>
      <c r="DA118" s="184"/>
      <c r="DB118" s="184"/>
      <c r="DC118" s="184"/>
      <c r="DD118" s="184"/>
      <c r="DE118" s="184"/>
      <c r="DF118" s="184"/>
      <c r="DG118" s="184"/>
      <c r="DH118" s="184"/>
      <c r="DI118" s="184"/>
      <c r="DJ118" s="184"/>
      <c r="DK118" s="184"/>
      <c r="DL118" s="184"/>
      <c r="DM118" s="184"/>
      <c r="DN118" s="184"/>
      <c r="DO118" s="184"/>
      <c r="DP118" s="184"/>
      <c r="DQ118" s="184"/>
      <c r="DR118" s="184"/>
      <c r="DS118" s="184"/>
      <c r="DT118" s="184"/>
      <c r="DU118" s="184"/>
      <c r="DV118" s="184"/>
      <c r="DW118" s="184"/>
      <c r="DX118" s="184"/>
      <c r="DY118" s="184"/>
      <c r="DZ118" s="184"/>
      <c r="EA118" s="224"/>
    </row>
    <row r="119" spans="1:131" ht="12.2" hidden="1" customHeight="1" x14ac:dyDescent="0.2">
      <c r="A119" s="184"/>
      <c r="B119" s="186"/>
      <c r="C119" s="186"/>
      <c r="D119" s="186"/>
      <c r="E119" s="186"/>
      <c r="F119" s="186"/>
      <c r="G119" s="186"/>
      <c r="H119" s="186"/>
      <c r="I119" s="186"/>
      <c r="J119" s="253"/>
      <c r="K119" s="225"/>
      <c r="L119" s="226" t="e">
        <f>IF(Daten!E528=0,Daten!G529,IF(Daten!E528=1,Daten!G528,""))</f>
        <v>#N/A</v>
      </c>
      <c r="M119" s="227"/>
      <c r="N119" s="227"/>
      <c r="O119" s="227"/>
      <c r="P119" s="227"/>
      <c r="Q119" s="227"/>
      <c r="R119" s="227"/>
      <c r="S119" s="227"/>
      <c r="T119" s="227"/>
      <c r="U119" s="227"/>
      <c r="V119" s="227"/>
      <c r="W119" s="227"/>
      <c r="X119" s="227"/>
      <c r="Y119" s="227"/>
      <c r="Z119" s="233"/>
      <c r="AA119" s="234"/>
      <c r="AB119" s="234"/>
      <c r="AC119" s="234"/>
      <c r="AD119" s="234"/>
      <c r="AE119" s="234"/>
      <c r="AF119" s="234"/>
      <c r="AG119" s="234"/>
      <c r="AH119" s="234"/>
      <c r="AI119" s="234"/>
      <c r="AJ119" s="234"/>
      <c r="AK119" s="227"/>
      <c r="AL119" s="227"/>
      <c r="AM119" s="227"/>
      <c r="AN119" s="227"/>
      <c r="AO119" s="227"/>
      <c r="AP119" s="227"/>
      <c r="AQ119" s="227"/>
      <c r="AR119" s="227"/>
      <c r="AS119" s="227"/>
      <c r="AT119" s="227"/>
      <c r="AU119" s="227"/>
      <c r="AV119" s="227"/>
      <c r="AW119" s="227"/>
      <c r="AX119" s="227"/>
      <c r="AY119" s="227"/>
      <c r="AZ119" s="227"/>
      <c r="BA119" s="227"/>
      <c r="BB119" s="656" t="e">
        <f>Daten!E530</f>
        <v>#N/A</v>
      </c>
      <c r="BC119" s="657"/>
      <c r="BD119" s="657"/>
      <c r="BE119" s="657"/>
      <c r="BF119" s="657"/>
      <c r="BG119" s="657"/>
      <c r="BH119" s="657"/>
      <c r="BI119" s="657"/>
      <c r="BJ119" s="657"/>
      <c r="BK119" s="657"/>
      <c r="BL119" s="657"/>
      <c r="BM119" s="225"/>
      <c r="BN119" s="281" t="s">
        <v>853</v>
      </c>
      <c r="BO119" s="225"/>
      <c r="BP119" s="225"/>
      <c r="BQ119" s="234"/>
      <c r="BR119" s="309"/>
      <c r="BS119" s="223"/>
      <c r="BT119" s="223"/>
      <c r="BU119" s="223"/>
      <c r="BV119" s="223"/>
      <c r="BW119" s="223"/>
      <c r="BX119" s="186"/>
      <c r="BY119" s="186"/>
      <c r="BZ119" s="184"/>
      <c r="CA119" s="184"/>
      <c r="CB119" s="184"/>
      <c r="CC119" s="184"/>
      <c r="CD119" s="184"/>
      <c r="CE119" s="184"/>
      <c r="CF119" s="184"/>
      <c r="CG119" s="184"/>
      <c r="CH119" s="184"/>
      <c r="CI119" s="184"/>
      <c r="CJ119" s="184"/>
      <c r="CK119" s="184"/>
      <c r="CL119" s="184"/>
      <c r="CM119" s="184"/>
      <c r="CN119" s="184"/>
      <c r="CO119" s="184"/>
      <c r="CP119" s="184"/>
      <c r="CQ119" s="184"/>
      <c r="CR119" s="184"/>
      <c r="CS119" s="184"/>
      <c r="CT119" s="184"/>
      <c r="CU119" s="184"/>
      <c r="CV119" s="184"/>
      <c r="CW119" s="184"/>
      <c r="CX119" s="184"/>
      <c r="CY119" s="184"/>
      <c r="CZ119" s="184"/>
      <c r="DA119" s="184"/>
      <c r="DB119" s="184"/>
      <c r="DC119" s="184"/>
      <c r="DD119" s="184"/>
      <c r="DE119" s="184"/>
      <c r="DF119" s="184"/>
      <c r="DG119" s="184"/>
      <c r="DH119" s="184"/>
      <c r="DI119" s="184"/>
      <c r="DJ119" s="184"/>
      <c r="DK119" s="184"/>
      <c r="DL119" s="184"/>
      <c r="DM119" s="184"/>
      <c r="DN119" s="184"/>
      <c r="DO119" s="184"/>
      <c r="DP119" s="184"/>
      <c r="DQ119" s="184"/>
      <c r="DR119" s="184"/>
      <c r="DS119" s="184"/>
      <c r="DT119" s="184"/>
      <c r="DU119" s="184"/>
      <c r="DV119" s="184"/>
      <c r="DW119" s="184"/>
      <c r="DX119" s="184"/>
      <c r="DY119" s="184"/>
      <c r="DZ119" s="184"/>
      <c r="EA119" s="224"/>
    </row>
    <row r="120" spans="1:131" ht="6.95" hidden="1" customHeight="1" x14ac:dyDescent="0.2">
      <c r="A120" s="184"/>
      <c r="B120" s="186"/>
      <c r="C120" s="186"/>
      <c r="D120" s="186"/>
      <c r="E120" s="186"/>
      <c r="F120" s="186"/>
      <c r="G120" s="186"/>
      <c r="H120" s="186"/>
      <c r="I120" s="186"/>
      <c r="J120" s="244"/>
      <c r="K120" s="245"/>
      <c r="L120" s="245"/>
      <c r="M120" s="245"/>
      <c r="N120" s="245"/>
      <c r="O120" s="245"/>
      <c r="P120" s="245"/>
      <c r="Q120" s="245"/>
      <c r="R120" s="245"/>
      <c r="S120" s="245"/>
      <c r="T120" s="245"/>
      <c r="U120" s="245"/>
      <c r="V120" s="245"/>
      <c r="W120" s="245"/>
      <c r="X120" s="245"/>
      <c r="Y120" s="245"/>
      <c r="Z120" s="310"/>
      <c r="AA120" s="311"/>
      <c r="AB120" s="311"/>
      <c r="AC120" s="311"/>
      <c r="AD120" s="311"/>
      <c r="AE120" s="311"/>
      <c r="AF120" s="311"/>
      <c r="AG120" s="311"/>
      <c r="AH120" s="311"/>
      <c r="AI120" s="311"/>
      <c r="AJ120" s="311"/>
      <c r="AK120" s="245"/>
      <c r="AL120" s="245"/>
      <c r="AM120" s="245"/>
      <c r="AN120" s="245"/>
      <c r="AO120" s="245"/>
      <c r="AP120" s="245"/>
      <c r="AQ120" s="245"/>
      <c r="AR120" s="245"/>
      <c r="AS120" s="245"/>
      <c r="AT120" s="245"/>
      <c r="AU120" s="245"/>
      <c r="AV120" s="245"/>
      <c r="AW120" s="245"/>
      <c r="AX120" s="245"/>
      <c r="AY120" s="245"/>
      <c r="AZ120" s="245"/>
      <c r="BA120" s="245"/>
      <c r="BB120" s="312"/>
      <c r="BC120" s="312"/>
      <c r="BD120" s="312"/>
      <c r="BE120" s="312"/>
      <c r="BF120" s="312"/>
      <c r="BG120" s="312"/>
      <c r="BH120" s="312"/>
      <c r="BI120" s="312"/>
      <c r="BJ120" s="312"/>
      <c r="BK120" s="312"/>
      <c r="BL120" s="312"/>
      <c r="BM120" s="312"/>
      <c r="BN120" s="312"/>
      <c r="BO120" s="311"/>
      <c r="BP120" s="311"/>
      <c r="BQ120" s="311"/>
      <c r="BR120" s="313"/>
      <c r="BS120" s="223"/>
      <c r="BT120" s="223"/>
      <c r="BU120" s="223"/>
      <c r="BV120" s="223"/>
      <c r="BW120" s="223"/>
      <c r="BX120" s="186"/>
      <c r="BY120" s="186"/>
      <c r="BZ120" s="184"/>
      <c r="CA120" s="184"/>
      <c r="CB120" s="184"/>
      <c r="CC120" s="184"/>
      <c r="CD120" s="184"/>
      <c r="CE120" s="184"/>
      <c r="CF120" s="184"/>
      <c r="CG120" s="184"/>
      <c r="CH120" s="184"/>
      <c r="CI120" s="184"/>
      <c r="CJ120" s="184"/>
      <c r="CK120" s="184"/>
      <c r="CL120" s="184"/>
      <c r="CM120" s="184"/>
      <c r="CN120" s="184"/>
      <c r="CO120" s="184"/>
      <c r="CP120" s="184"/>
      <c r="CQ120" s="184"/>
      <c r="CR120" s="184"/>
      <c r="CS120" s="184"/>
      <c r="CT120" s="184"/>
      <c r="CU120" s="184"/>
      <c r="CV120" s="184"/>
      <c r="CW120" s="184"/>
      <c r="CX120" s="184"/>
      <c r="CY120" s="184"/>
      <c r="CZ120" s="184"/>
      <c r="DA120" s="184"/>
      <c r="DB120" s="184"/>
      <c r="DC120" s="184"/>
      <c r="DD120" s="184"/>
      <c r="DE120" s="184"/>
      <c r="DF120" s="184"/>
      <c r="DG120" s="184"/>
      <c r="DH120" s="184"/>
      <c r="DI120" s="184"/>
      <c r="DJ120" s="184"/>
      <c r="DK120" s="184"/>
      <c r="DL120" s="184"/>
      <c r="DM120" s="184"/>
      <c r="DN120" s="184"/>
      <c r="DO120" s="184"/>
      <c r="DP120" s="184"/>
      <c r="DQ120" s="184"/>
      <c r="DR120" s="184"/>
      <c r="DS120" s="184"/>
      <c r="DT120" s="184"/>
      <c r="DU120" s="184"/>
      <c r="DV120" s="184"/>
      <c r="DW120" s="184"/>
      <c r="DX120" s="184"/>
      <c r="DY120" s="184"/>
      <c r="DZ120" s="184"/>
      <c r="EA120" s="224"/>
    </row>
    <row r="121" spans="1:131" ht="10.15" hidden="1" customHeight="1" x14ac:dyDescent="0.2">
      <c r="A121" s="184"/>
      <c r="B121" s="186"/>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282"/>
      <c r="AA121" s="223"/>
      <c r="AB121" s="223"/>
      <c r="AC121" s="223"/>
      <c r="AD121" s="223"/>
      <c r="AE121" s="223"/>
      <c r="AF121" s="223"/>
      <c r="AG121" s="223"/>
      <c r="AH121" s="223"/>
      <c r="AI121" s="223"/>
      <c r="AJ121" s="223"/>
      <c r="AK121" s="186"/>
      <c r="AL121" s="186"/>
      <c r="AM121" s="186"/>
      <c r="AN121" s="186"/>
      <c r="AO121" s="186"/>
      <c r="AP121" s="186"/>
      <c r="AQ121" s="186"/>
      <c r="AR121" s="186"/>
      <c r="AS121" s="186"/>
      <c r="AT121" s="186"/>
      <c r="AU121" s="186"/>
      <c r="AV121" s="186"/>
      <c r="AW121" s="186"/>
      <c r="AX121" s="186"/>
      <c r="AY121" s="186"/>
      <c r="AZ121" s="186"/>
      <c r="BA121" s="186"/>
      <c r="BB121" s="184"/>
      <c r="BC121" s="184"/>
      <c r="BD121" s="184"/>
      <c r="BE121" s="184"/>
      <c r="BF121" s="184"/>
      <c r="BG121" s="184"/>
      <c r="BH121" s="184"/>
      <c r="BI121" s="184"/>
      <c r="BJ121" s="184"/>
      <c r="BK121" s="184"/>
      <c r="BL121" s="184"/>
      <c r="BM121" s="184"/>
      <c r="BN121" s="184"/>
      <c r="BO121" s="223"/>
      <c r="BP121" s="223"/>
      <c r="BQ121" s="223"/>
      <c r="BR121" s="223"/>
      <c r="BS121" s="223"/>
      <c r="BT121" s="223"/>
      <c r="BU121" s="223"/>
      <c r="BV121" s="223"/>
      <c r="BW121" s="223"/>
      <c r="BX121" s="186"/>
      <c r="BY121" s="186"/>
      <c r="BZ121" s="184"/>
      <c r="CA121" s="184"/>
      <c r="CB121" s="184"/>
      <c r="CC121" s="184"/>
      <c r="CD121" s="184"/>
      <c r="CE121" s="184"/>
      <c r="CF121" s="184"/>
      <c r="CG121" s="184"/>
      <c r="CH121" s="184"/>
      <c r="CI121" s="184"/>
      <c r="CJ121" s="184"/>
      <c r="CK121" s="184"/>
      <c r="CL121" s="184"/>
      <c r="CM121" s="184"/>
      <c r="CN121" s="184"/>
      <c r="CO121" s="184"/>
      <c r="CP121" s="184"/>
      <c r="CQ121" s="184"/>
      <c r="CR121" s="184"/>
      <c r="CS121" s="184"/>
      <c r="CT121" s="184"/>
      <c r="CU121" s="184"/>
      <c r="CV121" s="184"/>
      <c r="CW121" s="184"/>
      <c r="CX121" s="184"/>
      <c r="CY121" s="184"/>
      <c r="CZ121" s="184"/>
      <c r="DA121" s="184"/>
      <c r="DB121" s="184"/>
      <c r="DC121" s="184"/>
      <c r="DD121" s="184"/>
      <c r="DE121" s="184"/>
      <c r="DF121" s="184"/>
      <c r="DG121" s="184"/>
      <c r="DH121" s="184"/>
      <c r="DI121" s="184"/>
      <c r="DJ121" s="184"/>
      <c r="DK121" s="184"/>
      <c r="DL121" s="184"/>
      <c r="DM121" s="184"/>
      <c r="DN121" s="184"/>
      <c r="DO121" s="184"/>
      <c r="DP121" s="184"/>
      <c r="DQ121" s="184"/>
      <c r="DR121" s="184"/>
      <c r="DS121" s="184"/>
      <c r="DT121" s="184"/>
      <c r="DU121" s="184"/>
      <c r="DV121" s="184"/>
      <c r="DW121" s="184"/>
      <c r="DX121" s="184"/>
      <c r="DY121" s="184"/>
      <c r="DZ121" s="184"/>
      <c r="EA121" s="224"/>
    </row>
    <row r="122" spans="1:131" ht="6.95" hidden="1" customHeight="1" x14ac:dyDescent="0.2">
      <c r="A122" s="184"/>
      <c r="B122" s="186"/>
      <c r="C122" s="186"/>
      <c r="D122" s="186"/>
      <c r="E122" s="186"/>
      <c r="F122" s="265"/>
      <c r="G122" s="266"/>
      <c r="H122" s="266"/>
      <c r="I122" s="266"/>
      <c r="J122" s="266"/>
      <c r="K122" s="266"/>
      <c r="L122" s="266"/>
      <c r="M122" s="267"/>
      <c r="N122" s="267"/>
      <c r="O122" s="267"/>
      <c r="P122" s="267"/>
      <c r="Q122" s="267"/>
      <c r="R122" s="267"/>
      <c r="S122" s="267"/>
      <c r="T122" s="267"/>
      <c r="U122" s="267"/>
      <c r="V122" s="267"/>
      <c r="W122" s="267"/>
      <c r="X122" s="267"/>
      <c r="Y122" s="267"/>
      <c r="Z122" s="267"/>
      <c r="AA122" s="267"/>
      <c r="AB122" s="267"/>
      <c r="AC122" s="267"/>
      <c r="AD122" s="267"/>
      <c r="AE122" s="267"/>
      <c r="AF122" s="267"/>
      <c r="AG122" s="267"/>
      <c r="AH122" s="267"/>
      <c r="AI122" s="267"/>
      <c r="AJ122" s="267"/>
      <c r="AK122" s="267"/>
      <c r="AL122" s="267"/>
      <c r="AM122" s="267"/>
      <c r="AN122" s="267"/>
      <c r="AO122" s="267"/>
      <c r="AP122" s="267"/>
      <c r="AQ122" s="267"/>
      <c r="AR122" s="267"/>
      <c r="AS122" s="267"/>
      <c r="AT122" s="267"/>
      <c r="AU122" s="267"/>
      <c r="AV122" s="267"/>
      <c r="AW122" s="267"/>
      <c r="AX122" s="267"/>
      <c r="AY122" s="267"/>
      <c r="AZ122" s="267"/>
      <c r="BA122" s="267"/>
      <c r="BB122" s="267"/>
      <c r="BC122" s="267"/>
      <c r="BD122" s="267"/>
      <c r="BE122" s="267"/>
      <c r="BF122" s="267"/>
      <c r="BG122" s="267"/>
      <c r="BH122" s="267"/>
      <c r="BI122" s="267"/>
      <c r="BJ122" s="267"/>
      <c r="BK122" s="267"/>
      <c r="BL122" s="267"/>
      <c r="BM122" s="267"/>
      <c r="BN122" s="267"/>
      <c r="BO122" s="267"/>
      <c r="BP122" s="267"/>
      <c r="BQ122" s="267"/>
      <c r="BR122" s="267"/>
      <c r="BS122" s="268"/>
      <c r="BT122" s="186"/>
      <c r="BU122" s="186"/>
      <c r="BV122" s="186"/>
      <c r="BW122" s="186"/>
      <c r="BX122" s="186"/>
      <c r="BY122" s="186"/>
      <c r="BZ122" s="184"/>
      <c r="CA122" s="184"/>
      <c r="CB122" s="184"/>
      <c r="CC122" s="184"/>
      <c r="CD122" s="184"/>
      <c r="CE122" s="184"/>
      <c r="CF122" s="184"/>
      <c r="CG122" s="184"/>
      <c r="CH122" s="184"/>
      <c r="CI122" s="184"/>
      <c r="CJ122" s="184"/>
      <c r="CK122" s="184"/>
      <c r="CL122" s="184"/>
      <c r="CM122" s="184"/>
      <c r="CN122" s="184"/>
      <c r="CO122" s="184"/>
      <c r="CP122" s="184"/>
      <c r="CQ122" s="184"/>
      <c r="CR122" s="184"/>
      <c r="CS122" s="184"/>
      <c r="CT122" s="184"/>
      <c r="CU122" s="184"/>
      <c r="CV122" s="184"/>
      <c r="CW122" s="184"/>
      <c r="CX122" s="184"/>
      <c r="CY122" s="184"/>
      <c r="CZ122" s="184"/>
      <c r="DA122" s="184"/>
      <c r="DB122" s="184"/>
      <c r="DC122" s="184"/>
      <c r="DD122" s="184"/>
      <c r="DE122" s="184"/>
      <c r="DF122" s="184"/>
      <c r="DG122" s="184"/>
      <c r="DH122" s="184"/>
      <c r="DI122" s="184"/>
      <c r="DJ122" s="184"/>
      <c r="DK122" s="184"/>
      <c r="DL122" s="184"/>
      <c r="DM122" s="184"/>
      <c r="DN122" s="184"/>
      <c r="DO122" s="184"/>
      <c r="DP122" s="184"/>
      <c r="DQ122" s="184"/>
      <c r="DR122" s="184"/>
      <c r="DS122" s="184"/>
      <c r="DT122" s="184"/>
      <c r="DU122" s="184"/>
      <c r="DV122" s="184"/>
      <c r="DW122" s="184"/>
      <c r="DX122" s="184"/>
      <c r="DY122" s="184"/>
      <c r="DZ122" s="184"/>
      <c r="EA122" s="224"/>
    </row>
    <row r="123" spans="1:131" ht="12.2" hidden="1" customHeight="1" x14ac:dyDescent="0.2">
      <c r="A123" s="184"/>
      <c r="B123" s="186"/>
      <c r="C123" s="186"/>
      <c r="D123" s="186"/>
      <c r="E123" s="186"/>
      <c r="F123" s="269"/>
      <c r="G123" s="184"/>
      <c r="H123" s="651" t="e">
        <f>IF(Daten!E528=1,"x","")</f>
        <v>#N/A</v>
      </c>
      <c r="I123" s="652"/>
      <c r="J123" s="653"/>
      <c r="K123" s="254"/>
      <c r="L123" s="254"/>
      <c r="M123" s="184"/>
      <c r="N123" s="658" t="s">
        <v>905</v>
      </c>
      <c r="O123" s="658"/>
      <c r="P123" s="658"/>
      <c r="Q123" s="658"/>
      <c r="R123" s="658"/>
      <c r="S123" s="658"/>
      <c r="T123" s="658"/>
      <c r="U123" s="658"/>
      <c r="V123" s="658"/>
      <c r="W123" s="658"/>
      <c r="X123" s="658"/>
      <c r="Y123" s="658"/>
      <c r="Z123" s="658"/>
      <c r="AA123" s="658"/>
      <c r="AB123" s="658"/>
      <c r="AC123" s="658"/>
      <c r="AD123" s="658"/>
      <c r="AE123" s="658"/>
      <c r="AF123" s="658"/>
      <c r="AG123" s="658"/>
      <c r="AH123" s="658"/>
      <c r="AI123" s="658"/>
      <c r="AJ123" s="658"/>
      <c r="AK123" s="658"/>
      <c r="AL123" s="658"/>
      <c r="AM123" s="658"/>
      <c r="AN123" s="658"/>
      <c r="AO123" s="658"/>
      <c r="AP123" s="658"/>
      <c r="AQ123" s="658"/>
      <c r="AR123" s="658"/>
      <c r="AS123" s="658"/>
      <c r="AT123" s="658"/>
      <c r="AU123" s="658"/>
      <c r="AV123" s="658"/>
      <c r="AW123" s="658"/>
      <c r="AX123" s="658"/>
      <c r="AY123" s="658"/>
      <c r="AZ123" s="658"/>
      <c r="BA123" s="658"/>
      <c r="BB123" s="658"/>
      <c r="BC123" s="658"/>
      <c r="BD123" s="658"/>
      <c r="BE123" s="658"/>
      <c r="BF123" s="658"/>
      <c r="BG123" s="658"/>
      <c r="BH123" s="658"/>
      <c r="BI123" s="658"/>
      <c r="BJ123" s="658"/>
      <c r="BK123" s="658"/>
      <c r="BL123" s="658"/>
      <c r="BM123" s="658"/>
      <c r="BN123" s="658"/>
      <c r="BO123" s="658"/>
      <c r="BP123" s="658"/>
      <c r="BQ123" s="658"/>
      <c r="BR123" s="658"/>
      <c r="BS123" s="659"/>
      <c r="BT123" s="184"/>
      <c r="BU123" s="186"/>
      <c r="BV123" s="186"/>
      <c r="BW123" s="186"/>
      <c r="BX123" s="186"/>
      <c r="BY123" s="186"/>
      <c r="BZ123" s="184"/>
      <c r="CA123" s="184"/>
      <c r="CB123" s="184"/>
      <c r="CC123" s="184"/>
      <c r="CD123" s="184"/>
      <c r="CE123" s="184"/>
      <c r="CF123" s="184"/>
      <c r="CG123" s="184"/>
      <c r="CH123" s="184"/>
      <c r="CI123" s="184"/>
      <c r="CJ123" s="184"/>
      <c r="CK123" s="184"/>
      <c r="CL123" s="184"/>
      <c r="CM123" s="184"/>
      <c r="CN123" s="184"/>
      <c r="CO123" s="184"/>
      <c r="CP123" s="184"/>
      <c r="CQ123" s="184"/>
      <c r="CR123" s="184"/>
      <c r="CS123" s="184"/>
      <c r="CT123" s="184"/>
      <c r="CU123" s="184"/>
      <c r="CV123" s="184"/>
      <c r="CW123" s="184"/>
      <c r="CX123" s="184"/>
      <c r="CY123" s="184"/>
      <c r="CZ123" s="184"/>
      <c r="DA123" s="184"/>
      <c r="DB123" s="184"/>
      <c r="DC123" s="184"/>
      <c r="DD123" s="184"/>
      <c r="DE123" s="184"/>
      <c r="DF123" s="184"/>
      <c r="DG123" s="184"/>
      <c r="DH123" s="184"/>
      <c r="DI123" s="184"/>
      <c r="DJ123" s="184"/>
      <c r="DK123" s="184"/>
      <c r="DL123" s="184"/>
      <c r="DM123" s="184"/>
      <c r="DN123" s="184"/>
      <c r="DO123" s="184"/>
      <c r="DP123" s="184"/>
      <c r="DQ123" s="184"/>
      <c r="DR123" s="184"/>
      <c r="DS123" s="184"/>
      <c r="DT123" s="184"/>
      <c r="DU123" s="184"/>
      <c r="DV123" s="184"/>
      <c r="DW123" s="184"/>
      <c r="DX123" s="184"/>
      <c r="DY123" s="184"/>
      <c r="DZ123" s="184"/>
      <c r="EA123" s="224"/>
    </row>
    <row r="124" spans="1:131" ht="6.95" hidden="1" customHeight="1" x14ac:dyDescent="0.2">
      <c r="A124" s="184"/>
      <c r="B124" s="186"/>
      <c r="C124" s="186"/>
      <c r="D124" s="186"/>
      <c r="E124" s="186"/>
      <c r="F124" s="275"/>
      <c r="G124" s="184"/>
      <c r="H124" s="184"/>
      <c r="I124" s="184"/>
      <c r="J124" s="184"/>
      <c r="K124" s="184"/>
      <c r="L124" s="262"/>
      <c r="M124" s="189"/>
      <c r="N124" s="184"/>
      <c r="O124" s="184"/>
      <c r="P124" s="184"/>
      <c r="Q124" s="184"/>
      <c r="R124" s="184"/>
      <c r="S124" s="184"/>
      <c r="T124" s="184"/>
      <c r="U124" s="184"/>
      <c r="V124" s="184"/>
      <c r="W124" s="184"/>
      <c r="X124" s="184"/>
      <c r="Y124" s="184"/>
      <c r="Z124" s="184"/>
      <c r="AA124" s="184"/>
      <c r="AB124" s="184"/>
      <c r="AC124" s="184"/>
      <c r="AD124" s="184"/>
      <c r="AE124" s="184"/>
      <c r="AF124" s="184"/>
      <c r="AG124" s="184"/>
      <c r="AH124" s="184"/>
      <c r="AI124" s="184"/>
      <c r="AJ124" s="184"/>
      <c r="AK124" s="184"/>
      <c r="AL124" s="184"/>
      <c r="AM124" s="184"/>
      <c r="AN124" s="184"/>
      <c r="AO124" s="184"/>
      <c r="AP124" s="184"/>
      <c r="AQ124" s="184"/>
      <c r="AR124" s="184"/>
      <c r="AS124" s="184"/>
      <c r="AT124" s="184"/>
      <c r="AU124" s="184"/>
      <c r="AV124" s="184"/>
      <c r="AW124" s="184"/>
      <c r="AX124" s="184"/>
      <c r="AY124" s="184"/>
      <c r="AZ124" s="184"/>
      <c r="BA124" s="184"/>
      <c r="BB124" s="184"/>
      <c r="BC124" s="184"/>
      <c r="BD124" s="184"/>
      <c r="BE124" s="184"/>
      <c r="BF124" s="184"/>
      <c r="BG124" s="184"/>
      <c r="BH124" s="184"/>
      <c r="BI124" s="184"/>
      <c r="BJ124" s="184"/>
      <c r="BK124" s="184"/>
      <c r="BL124" s="184"/>
      <c r="BM124" s="184"/>
      <c r="BN124" s="184"/>
      <c r="BO124" s="184"/>
      <c r="BP124" s="184"/>
      <c r="BQ124" s="184"/>
      <c r="BR124" s="184"/>
      <c r="BS124" s="272"/>
      <c r="BT124" s="186"/>
      <c r="BU124" s="186"/>
      <c r="BV124" s="186"/>
      <c r="BW124" s="186"/>
      <c r="BX124" s="186"/>
      <c r="BY124" s="186"/>
      <c r="BZ124" s="184"/>
      <c r="CA124" s="184"/>
      <c r="CB124" s="184"/>
      <c r="CC124" s="184"/>
      <c r="CD124" s="184"/>
      <c r="CE124" s="184"/>
      <c r="CF124" s="184"/>
      <c r="CG124" s="184"/>
      <c r="CH124" s="184"/>
      <c r="CI124" s="184"/>
      <c r="CJ124" s="184"/>
      <c r="CK124" s="184"/>
      <c r="CL124" s="184"/>
      <c r="CM124" s="184"/>
      <c r="CN124" s="184"/>
      <c r="CO124" s="184"/>
      <c r="CP124" s="184"/>
      <c r="CQ124" s="184"/>
      <c r="CR124" s="184"/>
      <c r="CS124" s="184"/>
      <c r="CT124" s="184"/>
      <c r="CU124" s="184"/>
      <c r="CV124" s="184"/>
      <c r="CW124" s="184"/>
      <c r="CX124" s="184"/>
      <c r="CY124" s="184"/>
      <c r="CZ124" s="184"/>
      <c r="DA124" s="184"/>
      <c r="DB124" s="184"/>
      <c r="DC124" s="184"/>
      <c r="DD124" s="184"/>
      <c r="DE124" s="184"/>
      <c r="DF124" s="184"/>
      <c r="DG124" s="184"/>
      <c r="DH124" s="184"/>
      <c r="DI124" s="184"/>
      <c r="DJ124" s="184"/>
      <c r="DK124" s="184"/>
      <c r="DL124" s="184"/>
      <c r="DM124" s="184"/>
      <c r="DN124" s="184"/>
      <c r="DO124" s="184"/>
      <c r="DP124" s="184"/>
      <c r="DQ124" s="184"/>
      <c r="DR124" s="184"/>
      <c r="DS124" s="184"/>
      <c r="DT124" s="184"/>
      <c r="DU124" s="184"/>
      <c r="DV124" s="184"/>
      <c r="DW124" s="184"/>
      <c r="DX124" s="184"/>
      <c r="DY124" s="184"/>
      <c r="DZ124" s="184"/>
      <c r="EA124" s="224"/>
    </row>
    <row r="125" spans="1:131" ht="3.2" hidden="1" customHeight="1" x14ac:dyDescent="0.2">
      <c r="A125" s="184"/>
      <c r="B125" s="186"/>
      <c r="C125" s="186"/>
      <c r="D125" s="186"/>
      <c r="E125" s="186"/>
      <c r="F125" s="275"/>
      <c r="G125" s="184"/>
      <c r="H125" s="184"/>
      <c r="I125" s="184"/>
      <c r="J125" s="184"/>
      <c r="K125" s="184"/>
      <c r="L125" s="262"/>
      <c r="M125" s="189"/>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184"/>
      <c r="AO125" s="184"/>
      <c r="AP125" s="184"/>
      <c r="AQ125" s="184"/>
      <c r="AR125" s="184"/>
      <c r="AS125" s="184"/>
      <c r="AT125" s="184"/>
      <c r="AU125" s="184"/>
      <c r="AV125" s="184"/>
      <c r="AW125" s="184"/>
      <c r="AX125" s="184"/>
      <c r="AY125" s="184"/>
      <c r="AZ125" s="184"/>
      <c r="BA125" s="184"/>
      <c r="BB125" s="184"/>
      <c r="BC125" s="184"/>
      <c r="BD125" s="184"/>
      <c r="BE125" s="184"/>
      <c r="BF125" s="184"/>
      <c r="BG125" s="184"/>
      <c r="BH125" s="184"/>
      <c r="BI125" s="184"/>
      <c r="BJ125" s="184"/>
      <c r="BK125" s="184"/>
      <c r="BL125" s="184"/>
      <c r="BM125" s="184"/>
      <c r="BN125" s="184"/>
      <c r="BO125" s="184"/>
      <c r="BP125" s="184"/>
      <c r="BQ125" s="184"/>
      <c r="BR125" s="184"/>
      <c r="BS125" s="272"/>
      <c r="BT125" s="186"/>
      <c r="BU125" s="186"/>
      <c r="BV125" s="186"/>
      <c r="BW125" s="186"/>
      <c r="BX125" s="186"/>
      <c r="BY125" s="186"/>
      <c r="BZ125" s="184"/>
      <c r="CA125" s="184"/>
      <c r="CB125" s="184"/>
      <c r="CC125" s="184"/>
      <c r="CD125" s="184"/>
      <c r="CE125" s="184"/>
      <c r="CF125" s="184"/>
      <c r="CG125" s="184"/>
      <c r="CH125" s="184"/>
      <c r="CI125" s="184"/>
      <c r="CJ125" s="184"/>
      <c r="CK125" s="184"/>
      <c r="CL125" s="184"/>
      <c r="CM125" s="184"/>
      <c r="CN125" s="184"/>
      <c r="CO125" s="184"/>
      <c r="CP125" s="184"/>
      <c r="CQ125" s="184"/>
      <c r="CR125" s="184"/>
      <c r="CS125" s="184"/>
      <c r="CT125" s="184"/>
      <c r="CU125" s="184"/>
      <c r="CV125" s="184"/>
      <c r="CW125" s="184"/>
      <c r="CX125" s="184"/>
      <c r="CY125" s="184"/>
      <c r="CZ125" s="184"/>
      <c r="DA125" s="184"/>
      <c r="DB125" s="184"/>
      <c r="DC125" s="184"/>
      <c r="DD125" s="184"/>
      <c r="DE125" s="184"/>
      <c r="DF125" s="184"/>
      <c r="DG125" s="184"/>
      <c r="DH125" s="184"/>
      <c r="DI125" s="184"/>
      <c r="DJ125" s="184"/>
      <c r="DK125" s="184"/>
      <c r="DL125" s="184"/>
      <c r="DM125" s="184"/>
      <c r="DN125" s="184"/>
      <c r="DO125" s="184"/>
      <c r="DP125" s="184"/>
      <c r="DQ125" s="184"/>
      <c r="DR125" s="184"/>
      <c r="DS125" s="184"/>
      <c r="DT125" s="184"/>
      <c r="DU125" s="184"/>
      <c r="DV125" s="184"/>
      <c r="DW125" s="184"/>
      <c r="DX125" s="184"/>
      <c r="DY125" s="184"/>
      <c r="DZ125" s="184"/>
      <c r="EA125" s="224"/>
    </row>
    <row r="126" spans="1:131" ht="6.95" hidden="1" customHeight="1" x14ac:dyDescent="0.2">
      <c r="A126" s="184"/>
      <c r="B126" s="186"/>
      <c r="C126" s="186"/>
      <c r="D126" s="186"/>
      <c r="E126" s="186"/>
      <c r="F126" s="275"/>
      <c r="G126" s="184"/>
      <c r="H126" s="184"/>
      <c r="I126" s="184"/>
      <c r="J126" s="184"/>
      <c r="K126" s="184"/>
      <c r="L126" s="262"/>
      <c r="M126" s="189"/>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c r="AN126" s="184"/>
      <c r="AO126" s="184"/>
      <c r="AP126" s="184"/>
      <c r="AQ126" s="184"/>
      <c r="AR126" s="184"/>
      <c r="AS126" s="184"/>
      <c r="AT126" s="184"/>
      <c r="AU126" s="184"/>
      <c r="AV126" s="184"/>
      <c r="AW126" s="184"/>
      <c r="AX126" s="184"/>
      <c r="AY126" s="184"/>
      <c r="AZ126" s="184"/>
      <c r="BA126" s="184"/>
      <c r="BB126" s="184"/>
      <c r="BC126" s="184"/>
      <c r="BD126" s="184"/>
      <c r="BE126" s="184"/>
      <c r="BF126" s="184"/>
      <c r="BG126" s="184"/>
      <c r="BH126" s="184"/>
      <c r="BI126" s="184"/>
      <c r="BJ126" s="184"/>
      <c r="BK126" s="184"/>
      <c r="BL126" s="184"/>
      <c r="BM126" s="184"/>
      <c r="BN126" s="184"/>
      <c r="BO126" s="184"/>
      <c r="BP126" s="184"/>
      <c r="BQ126" s="184"/>
      <c r="BR126" s="184"/>
      <c r="BS126" s="272"/>
      <c r="BT126" s="186"/>
      <c r="BU126" s="186"/>
      <c r="BV126" s="186"/>
      <c r="BW126" s="186"/>
      <c r="BX126" s="186"/>
      <c r="BY126" s="186"/>
      <c r="BZ126" s="184"/>
      <c r="CA126" s="184"/>
      <c r="CB126" s="184"/>
      <c r="CC126" s="184"/>
      <c r="CD126" s="184"/>
      <c r="CE126" s="184"/>
      <c r="CF126" s="184"/>
      <c r="CG126" s="184"/>
      <c r="CH126" s="184"/>
      <c r="CI126" s="184"/>
      <c r="CJ126" s="184"/>
      <c r="CK126" s="184"/>
      <c r="CL126" s="184"/>
      <c r="CM126" s="184"/>
      <c r="CN126" s="184"/>
      <c r="CO126" s="184"/>
      <c r="CP126" s="184"/>
      <c r="CQ126" s="184"/>
      <c r="CR126" s="184"/>
      <c r="CS126" s="184"/>
      <c r="CT126" s="184"/>
      <c r="CU126" s="184"/>
      <c r="CV126" s="184"/>
      <c r="CW126" s="184"/>
      <c r="CX126" s="184"/>
      <c r="CY126" s="184"/>
      <c r="CZ126" s="184"/>
      <c r="DA126" s="184"/>
      <c r="DB126" s="184"/>
      <c r="DC126" s="184"/>
      <c r="DD126" s="184"/>
      <c r="DE126" s="184"/>
      <c r="DF126" s="184"/>
      <c r="DG126" s="184"/>
      <c r="DH126" s="184"/>
      <c r="DI126" s="184"/>
      <c r="DJ126" s="184"/>
      <c r="DK126" s="184"/>
      <c r="DL126" s="184"/>
      <c r="DM126" s="184"/>
      <c r="DN126" s="184"/>
      <c r="DO126" s="184"/>
      <c r="DP126" s="184"/>
      <c r="DQ126" s="184"/>
      <c r="DR126" s="184"/>
      <c r="DS126" s="184"/>
      <c r="DT126" s="184"/>
      <c r="DU126" s="184"/>
      <c r="DV126" s="184"/>
      <c r="DW126" s="184"/>
      <c r="DX126" s="184"/>
      <c r="DY126" s="184"/>
      <c r="DZ126" s="184"/>
      <c r="EA126" s="224"/>
    </row>
    <row r="127" spans="1:131" ht="12.2" hidden="1" customHeight="1" x14ac:dyDescent="0.2">
      <c r="A127" s="184"/>
      <c r="B127" s="186"/>
      <c r="C127" s="186"/>
      <c r="D127" s="186"/>
      <c r="E127" s="186"/>
      <c r="F127" s="275"/>
      <c r="G127" s="184"/>
      <c r="H127" s="651" t="e">
        <f>IF(AND(Daten!E528=1,Daten!E523=1),"x","")</f>
        <v>#N/A</v>
      </c>
      <c r="I127" s="652"/>
      <c r="J127" s="653"/>
      <c r="K127" s="254"/>
      <c r="L127" s="254"/>
      <c r="M127" s="189"/>
      <c r="N127" s="255" t="s">
        <v>405</v>
      </c>
      <c r="O127" s="255"/>
      <c r="P127" s="255"/>
      <c r="Q127" s="255"/>
      <c r="R127" s="255"/>
      <c r="S127" s="255"/>
      <c r="T127" s="255"/>
      <c r="U127" s="255"/>
      <c r="V127" s="255"/>
      <c r="W127" s="255"/>
      <c r="X127" s="255"/>
      <c r="Y127" s="255"/>
      <c r="Z127" s="255"/>
      <c r="AA127" s="255"/>
      <c r="AB127" s="255"/>
      <c r="AC127" s="255"/>
      <c r="AD127" s="255"/>
      <c r="AE127" s="255"/>
      <c r="AF127" s="255"/>
      <c r="AG127" s="255"/>
      <c r="AH127" s="255"/>
      <c r="AI127" s="255"/>
      <c r="AJ127" s="255"/>
      <c r="AK127" s="255"/>
      <c r="AL127" s="255"/>
      <c r="AM127" s="255"/>
      <c r="AN127" s="255"/>
      <c r="AO127" s="255"/>
      <c r="AP127" s="255"/>
      <c r="AQ127" s="255"/>
      <c r="AR127" s="255"/>
      <c r="AS127" s="255"/>
      <c r="AT127" s="255"/>
      <c r="AU127" s="255"/>
      <c r="AV127" s="255"/>
      <c r="AW127" s="255"/>
      <c r="AX127" s="255"/>
      <c r="AY127" s="255"/>
      <c r="AZ127" s="255"/>
      <c r="BA127" s="255"/>
      <c r="BB127" s="255"/>
      <c r="BC127" s="255"/>
      <c r="BD127" s="255"/>
      <c r="BE127" s="255"/>
      <c r="BF127" s="255"/>
      <c r="BG127" s="255"/>
      <c r="BH127" s="255"/>
      <c r="BI127" s="255"/>
      <c r="BJ127" s="255"/>
      <c r="BK127" s="255"/>
      <c r="BL127" s="255"/>
      <c r="BM127" s="255"/>
      <c r="BN127" s="255"/>
      <c r="BO127" s="255"/>
      <c r="BP127" s="255"/>
      <c r="BQ127" s="255"/>
      <c r="BR127" s="255"/>
      <c r="BS127" s="270"/>
      <c r="BT127" s="186"/>
      <c r="BU127" s="186"/>
      <c r="BV127" s="186"/>
      <c r="BW127" s="186"/>
      <c r="BX127" s="186"/>
      <c r="BY127" s="186"/>
      <c r="BZ127" s="184"/>
      <c r="CA127" s="184"/>
      <c r="CB127" s="184"/>
      <c r="CC127" s="184"/>
      <c r="CD127" s="184"/>
      <c r="CE127" s="184"/>
      <c r="CF127" s="184"/>
      <c r="CG127" s="184"/>
      <c r="CH127" s="184"/>
      <c r="CI127" s="184"/>
      <c r="CJ127" s="184"/>
      <c r="CK127" s="184"/>
      <c r="CL127" s="184"/>
      <c r="CM127" s="184"/>
      <c r="CN127" s="184"/>
      <c r="CO127" s="184"/>
      <c r="CP127" s="184"/>
      <c r="CQ127" s="184"/>
      <c r="CR127" s="184"/>
      <c r="CS127" s="184"/>
      <c r="CT127" s="184"/>
      <c r="CU127" s="184"/>
      <c r="CV127" s="184"/>
      <c r="CW127" s="184"/>
      <c r="CX127" s="184"/>
      <c r="CY127" s="184"/>
      <c r="CZ127" s="184"/>
      <c r="DA127" s="184"/>
      <c r="DB127" s="184"/>
      <c r="DC127" s="184"/>
      <c r="DD127" s="184"/>
      <c r="DE127" s="184"/>
      <c r="DF127" s="184"/>
      <c r="DG127" s="184"/>
      <c r="DH127" s="184"/>
      <c r="DI127" s="184"/>
      <c r="DJ127" s="184"/>
      <c r="DK127" s="184"/>
      <c r="DL127" s="184"/>
      <c r="DM127" s="184"/>
      <c r="DN127" s="184"/>
      <c r="DO127" s="184"/>
      <c r="DP127" s="184"/>
      <c r="DQ127" s="184"/>
      <c r="DR127" s="184"/>
      <c r="DS127" s="184"/>
      <c r="DT127" s="184"/>
      <c r="DU127" s="184"/>
      <c r="DV127" s="184"/>
      <c r="DW127" s="184"/>
      <c r="DX127" s="184"/>
      <c r="DY127" s="184"/>
      <c r="DZ127" s="184"/>
      <c r="EA127" s="224"/>
    </row>
    <row r="128" spans="1:131" ht="12.2" hidden="1" customHeight="1" x14ac:dyDescent="0.2">
      <c r="A128" s="184"/>
      <c r="B128" s="186"/>
      <c r="C128" s="186"/>
      <c r="D128" s="186"/>
      <c r="E128" s="186"/>
      <c r="F128" s="269"/>
      <c r="G128" s="184"/>
      <c r="H128" s="184"/>
      <c r="I128" s="184"/>
      <c r="J128" s="184"/>
      <c r="K128" s="184"/>
      <c r="L128" s="184"/>
      <c r="M128" s="184"/>
      <c r="N128" s="283" t="s">
        <v>406</v>
      </c>
      <c r="O128" s="283"/>
      <c r="P128" s="283"/>
      <c r="Q128" s="283"/>
      <c r="R128" s="283"/>
      <c r="S128" s="283"/>
      <c r="T128" s="283"/>
      <c r="U128" s="283"/>
      <c r="V128" s="283"/>
      <c r="W128" s="283"/>
      <c r="X128" s="283"/>
      <c r="Y128" s="283"/>
      <c r="Z128" s="283"/>
      <c r="AA128" s="283"/>
      <c r="AB128" s="283"/>
      <c r="AC128" s="283"/>
      <c r="AD128" s="283"/>
      <c r="AE128" s="283"/>
      <c r="AF128" s="283"/>
      <c r="AG128" s="283"/>
      <c r="AH128" s="283"/>
      <c r="AI128" s="283"/>
      <c r="AJ128" s="283"/>
      <c r="AK128" s="283"/>
      <c r="AL128" s="283"/>
      <c r="AM128" s="283"/>
      <c r="AN128" s="283"/>
      <c r="AO128" s="283"/>
      <c r="AP128" s="283"/>
      <c r="AQ128" s="255"/>
      <c r="AR128" s="255"/>
      <c r="AS128" s="255"/>
      <c r="AT128" s="255"/>
      <c r="AU128" s="255"/>
      <c r="AV128" s="255"/>
      <c r="AW128" s="255"/>
      <c r="AX128" s="255"/>
      <c r="AY128" s="255"/>
      <c r="AZ128" s="255"/>
      <c r="BA128" s="255"/>
      <c r="BB128" s="255"/>
      <c r="BC128" s="255"/>
      <c r="BD128" s="255"/>
      <c r="BE128" s="255"/>
      <c r="BF128" s="255"/>
      <c r="BG128" s="255"/>
      <c r="BH128" s="255"/>
      <c r="BI128" s="255"/>
      <c r="BJ128" s="255"/>
      <c r="BK128" s="255"/>
      <c r="BL128" s="255"/>
      <c r="BM128" s="255"/>
      <c r="BN128" s="255"/>
      <c r="BO128" s="255"/>
      <c r="BP128" s="255"/>
      <c r="BQ128" s="255"/>
      <c r="BR128" s="255"/>
      <c r="BS128" s="270"/>
      <c r="BT128" s="186"/>
      <c r="BU128" s="186"/>
      <c r="BV128" s="186"/>
      <c r="BW128" s="186"/>
      <c r="BX128" s="186"/>
      <c r="BY128" s="186"/>
      <c r="BZ128" s="184"/>
      <c r="CA128" s="184"/>
      <c r="CB128" s="184"/>
      <c r="CC128" s="184"/>
      <c r="CD128" s="184"/>
      <c r="CE128" s="184"/>
      <c r="CF128" s="184"/>
      <c r="CG128" s="184"/>
      <c r="CH128" s="184"/>
      <c r="CI128" s="184"/>
      <c r="CJ128" s="184"/>
      <c r="CK128" s="184"/>
      <c r="CL128" s="184"/>
      <c r="CM128" s="184"/>
      <c r="CN128" s="184"/>
      <c r="CO128" s="184"/>
      <c r="CP128" s="184"/>
      <c r="CQ128" s="184"/>
      <c r="CR128" s="184"/>
      <c r="CS128" s="184"/>
      <c r="CT128" s="184"/>
      <c r="CU128" s="184"/>
      <c r="CV128" s="184"/>
      <c r="CW128" s="184"/>
      <c r="CX128" s="184"/>
      <c r="CY128" s="184"/>
      <c r="CZ128" s="184"/>
      <c r="DA128" s="184"/>
      <c r="DB128" s="184"/>
      <c r="DC128" s="184"/>
      <c r="DD128" s="184"/>
      <c r="DE128" s="184"/>
      <c r="DF128" s="184"/>
      <c r="DG128" s="184"/>
      <c r="DH128" s="184"/>
      <c r="DI128" s="184"/>
      <c r="DJ128" s="184"/>
      <c r="DK128" s="184"/>
      <c r="DL128" s="184"/>
      <c r="DM128" s="184"/>
      <c r="DN128" s="184"/>
      <c r="DO128" s="184"/>
      <c r="DP128" s="184"/>
      <c r="DQ128" s="184"/>
      <c r="DR128" s="184"/>
      <c r="DS128" s="184"/>
      <c r="DT128" s="184"/>
      <c r="DU128" s="184"/>
      <c r="DV128" s="184"/>
      <c r="DW128" s="184"/>
      <c r="DX128" s="184"/>
      <c r="DY128" s="184"/>
      <c r="DZ128" s="184"/>
      <c r="EA128" s="224"/>
    </row>
    <row r="129" spans="1:131" ht="6.95" hidden="1" customHeight="1" x14ac:dyDescent="0.2">
      <c r="A129" s="184"/>
      <c r="B129" s="186"/>
      <c r="C129" s="186"/>
      <c r="D129" s="186"/>
      <c r="E129" s="186"/>
      <c r="F129" s="269"/>
      <c r="G129" s="184"/>
      <c r="H129" s="184"/>
      <c r="I129" s="184"/>
      <c r="J129" s="184"/>
      <c r="K129" s="184"/>
      <c r="L129" s="184"/>
      <c r="M129" s="184"/>
      <c r="N129" s="262"/>
      <c r="O129" s="262"/>
      <c r="P129" s="262"/>
      <c r="Q129" s="262"/>
      <c r="R129" s="262"/>
      <c r="S129" s="262"/>
      <c r="T129" s="262"/>
      <c r="U129" s="262"/>
      <c r="V129" s="262"/>
      <c r="W129" s="262"/>
      <c r="X129" s="262"/>
      <c r="Y129" s="262"/>
      <c r="Z129" s="262"/>
      <c r="AA129" s="262"/>
      <c r="AB129" s="262"/>
      <c r="AC129" s="262"/>
      <c r="AD129" s="262"/>
      <c r="AE129" s="262"/>
      <c r="AF129" s="262"/>
      <c r="AG129" s="262"/>
      <c r="AH129" s="262"/>
      <c r="AI129" s="262"/>
      <c r="AJ129" s="262"/>
      <c r="AK129" s="262"/>
      <c r="AL129" s="262"/>
      <c r="AM129" s="262"/>
      <c r="AN129" s="262"/>
      <c r="AO129" s="262"/>
      <c r="AP129" s="262"/>
      <c r="AQ129" s="262"/>
      <c r="AR129" s="262"/>
      <c r="AS129" s="262"/>
      <c r="AT129" s="262"/>
      <c r="AU129" s="262"/>
      <c r="AV129" s="262"/>
      <c r="AW129" s="262"/>
      <c r="AX129" s="262"/>
      <c r="AY129" s="262"/>
      <c r="AZ129" s="262"/>
      <c r="BA129" s="262"/>
      <c r="BB129" s="262"/>
      <c r="BC129" s="262"/>
      <c r="BD129" s="262"/>
      <c r="BE129" s="262"/>
      <c r="BF129" s="262"/>
      <c r="BG129" s="262"/>
      <c r="BH129" s="262"/>
      <c r="BI129" s="262"/>
      <c r="BJ129" s="262"/>
      <c r="BK129" s="262"/>
      <c r="BL129" s="262"/>
      <c r="BM129" s="262"/>
      <c r="BN129" s="262"/>
      <c r="BO129" s="262"/>
      <c r="BP129" s="262"/>
      <c r="BQ129" s="262"/>
      <c r="BR129" s="262"/>
      <c r="BS129" s="314"/>
      <c r="BT129" s="186"/>
      <c r="BU129" s="186"/>
      <c r="BV129" s="186"/>
      <c r="BW129" s="186"/>
      <c r="BX129" s="186"/>
      <c r="BY129" s="186"/>
      <c r="BZ129" s="184"/>
      <c r="CA129" s="184"/>
      <c r="CB129" s="184"/>
      <c r="CC129" s="184"/>
      <c r="CD129" s="184"/>
      <c r="CE129" s="184"/>
      <c r="CF129" s="184"/>
      <c r="CG129" s="184"/>
      <c r="CH129" s="184"/>
      <c r="CI129" s="184"/>
      <c r="CJ129" s="184"/>
      <c r="CK129" s="184"/>
      <c r="CL129" s="184"/>
      <c r="CM129" s="184"/>
      <c r="CN129" s="184"/>
      <c r="CO129" s="184"/>
      <c r="CP129" s="184"/>
      <c r="CQ129" s="184"/>
      <c r="CR129" s="184"/>
      <c r="CS129" s="184"/>
      <c r="CT129" s="184"/>
      <c r="CU129" s="184"/>
      <c r="CV129" s="184"/>
      <c r="CW129" s="184"/>
      <c r="CX129" s="184"/>
      <c r="CY129" s="184"/>
      <c r="CZ129" s="184"/>
      <c r="DA129" s="184"/>
      <c r="DB129" s="184"/>
      <c r="DC129" s="184"/>
      <c r="DD129" s="184"/>
      <c r="DE129" s="184"/>
      <c r="DF129" s="184"/>
      <c r="DG129" s="184"/>
      <c r="DH129" s="184"/>
      <c r="DI129" s="184"/>
      <c r="DJ129" s="184"/>
      <c r="DK129" s="184"/>
      <c r="DL129" s="184"/>
      <c r="DM129" s="184"/>
      <c r="DN129" s="184"/>
      <c r="DO129" s="184"/>
      <c r="DP129" s="184"/>
      <c r="DQ129" s="184"/>
      <c r="DR129" s="184"/>
      <c r="DS129" s="184"/>
      <c r="DT129" s="184"/>
      <c r="DU129" s="184"/>
      <c r="DV129" s="184"/>
      <c r="DW129" s="184"/>
      <c r="DX129" s="184"/>
      <c r="DY129" s="184"/>
      <c r="DZ129" s="184"/>
      <c r="EA129" s="224"/>
    </row>
    <row r="130" spans="1:131" ht="12.2" hidden="1" customHeight="1" x14ac:dyDescent="0.2">
      <c r="A130" s="184"/>
      <c r="B130" s="186"/>
      <c r="C130" s="186"/>
      <c r="D130" s="186"/>
      <c r="E130" s="186"/>
      <c r="F130" s="269"/>
      <c r="G130" s="184"/>
      <c r="H130" s="184"/>
      <c r="I130" s="184"/>
      <c r="J130" s="184"/>
      <c r="K130" s="184"/>
      <c r="L130" s="184"/>
      <c r="M130" s="184"/>
      <c r="N130" s="189" t="s">
        <v>893</v>
      </c>
      <c r="O130" s="262"/>
      <c r="P130" s="262"/>
      <c r="Q130" s="262"/>
      <c r="R130" s="262"/>
      <c r="S130" s="262"/>
      <c r="T130" s="262"/>
      <c r="U130" s="262"/>
      <c r="V130" s="262"/>
      <c r="W130" s="262"/>
      <c r="X130" s="262"/>
      <c r="Y130" s="262"/>
      <c r="Z130" s="262"/>
      <c r="AA130" s="262"/>
      <c r="AB130" s="262"/>
      <c r="AC130" s="262"/>
      <c r="AD130" s="262"/>
      <c r="AE130" s="262"/>
      <c r="AF130" s="262"/>
      <c r="AG130" s="262"/>
      <c r="AH130" s="262"/>
      <c r="AI130" s="262"/>
      <c r="AJ130" s="262"/>
      <c r="AK130" s="262"/>
      <c r="AL130" s="262"/>
      <c r="AM130" s="262"/>
      <c r="AN130" s="262"/>
      <c r="AO130" s="262"/>
      <c r="AP130" s="262"/>
      <c r="AQ130" s="262"/>
      <c r="AR130" s="262"/>
      <c r="AS130" s="262"/>
      <c r="AT130" s="262"/>
      <c r="AU130" s="262"/>
      <c r="AV130" s="262"/>
      <c r="AW130" s="262"/>
      <c r="AX130" s="262"/>
      <c r="AY130" s="262"/>
      <c r="AZ130" s="262"/>
      <c r="BA130" s="262"/>
      <c r="BB130" s="262"/>
      <c r="BC130" s="262"/>
      <c r="BD130" s="262"/>
      <c r="BE130" s="262"/>
      <c r="BF130" s="262"/>
      <c r="BG130" s="262"/>
      <c r="BH130" s="262"/>
      <c r="BI130" s="262"/>
      <c r="BJ130" s="262"/>
      <c r="BK130" s="262"/>
      <c r="BL130" s="262"/>
      <c r="BM130" s="262"/>
      <c r="BN130" s="262"/>
      <c r="BO130" s="262"/>
      <c r="BP130" s="262"/>
      <c r="BQ130" s="262"/>
      <c r="BR130" s="262"/>
      <c r="BS130" s="314"/>
      <c r="BT130" s="186"/>
      <c r="BU130" s="186"/>
      <c r="BV130" s="186"/>
      <c r="BW130" s="186"/>
      <c r="BX130" s="186"/>
      <c r="BY130" s="186"/>
      <c r="BZ130" s="184"/>
      <c r="CA130" s="184"/>
      <c r="CB130" s="184"/>
      <c r="CC130" s="184"/>
      <c r="CD130" s="184"/>
      <c r="CE130" s="184"/>
      <c r="CF130" s="184"/>
      <c r="CG130" s="184"/>
      <c r="CH130" s="184"/>
      <c r="CI130" s="184"/>
      <c r="CJ130" s="184"/>
      <c r="CK130" s="184"/>
      <c r="CL130" s="184"/>
      <c r="CM130" s="184"/>
      <c r="CN130" s="184"/>
      <c r="CO130" s="184"/>
      <c r="CP130" s="184"/>
      <c r="CQ130" s="184"/>
      <c r="CR130" s="184"/>
      <c r="CS130" s="184"/>
      <c r="CT130" s="184"/>
      <c r="CU130" s="184"/>
      <c r="CV130" s="184"/>
      <c r="CW130" s="184"/>
      <c r="CX130" s="184"/>
      <c r="CY130" s="184"/>
      <c r="CZ130" s="184"/>
      <c r="DA130" s="184"/>
      <c r="DB130" s="184"/>
      <c r="DC130" s="184"/>
      <c r="DD130" s="184"/>
      <c r="DE130" s="184"/>
      <c r="DF130" s="184"/>
      <c r="DG130" s="184"/>
      <c r="DH130" s="184"/>
      <c r="DI130" s="184"/>
      <c r="DJ130" s="184"/>
      <c r="DK130" s="184"/>
      <c r="DL130" s="184"/>
      <c r="DM130" s="184"/>
      <c r="DN130" s="184"/>
      <c r="DO130" s="184"/>
      <c r="DP130" s="184"/>
      <c r="DQ130" s="184"/>
      <c r="DR130" s="184"/>
      <c r="DS130" s="184"/>
      <c r="DT130" s="184"/>
      <c r="DU130" s="184"/>
      <c r="DV130" s="184"/>
      <c r="DW130" s="184"/>
      <c r="DX130" s="184"/>
      <c r="DY130" s="184"/>
      <c r="DZ130" s="184"/>
      <c r="EA130" s="224"/>
    </row>
    <row r="131" spans="1:131" ht="12.2" hidden="1" customHeight="1" x14ac:dyDescent="0.2">
      <c r="A131" s="184"/>
      <c r="B131" s="186"/>
      <c r="C131" s="186"/>
      <c r="D131" s="186"/>
      <c r="E131" s="186"/>
      <c r="F131" s="269"/>
      <c r="G131" s="184"/>
      <c r="H131" s="184"/>
      <c r="I131" s="184"/>
      <c r="J131" s="184"/>
      <c r="K131" s="184"/>
      <c r="L131" s="184"/>
      <c r="M131" s="184"/>
      <c r="N131" s="189" t="s">
        <v>896</v>
      </c>
      <c r="O131" s="262"/>
      <c r="P131" s="262"/>
      <c r="Q131" s="262"/>
      <c r="R131" s="262"/>
      <c r="S131" s="262"/>
      <c r="T131" s="262"/>
      <c r="U131" s="262"/>
      <c r="V131" s="262"/>
      <c r="W131" s="262"/>
      <c r="X131" s="262"/>
      <c r="Y131" s="262"/>
      <c r="Z131" s="262"/>
      <c r="AA131" s="262"/>
      <c r="AB131" s="262"/>
      <c r="AC131" s="262"/>
      <c r="AD131" s="262"/>
      <c r="AE131" s="262"/>
      <c r="AF131" s="262"/>
      <c r="AG131" s="262"/>
      <c r="AH131" s="262"/>
      <c r="AI131" s="262"/>
      <c r="AJ131" s="262"/>
      <c r="AK131" s="262"/>
      <c r="AL131" s="262"/>
      <c r="AM131" s="262"/>
      <c r="AN131" s="262"/>
      <c r="AO131" s="262"/>
      <c r="AP131" s="262"/>
      <c r="AQ131" s="262"/>
      <c r="AR131" s="262"/>
      <c r="AS131" s="262"/>
      <c r="AT131" s="262"/>
      <c r="AU131" s="262"/>
      <c r="AV131" s="262"/>
      <c r="AW131" s="262"/>
      <c r="AX131" s="262"/>
      <c r="AY131" s="262"/>
      <c r="AZ131" s="262"/>
      <c r="BA131" s="262"/>
      <c r="BB131" s="262"/>
      <c r="BC131" s="262"/>
      <c r="BD131" s="262"/>
      <c r="BE131" s="262"/>
      <c r="BF131" s="262"/>
      <c r="BG131" s="262"/>
      <c r="BH131" s="262"/>
      <c r="BI131" s="262"/>
      <c r="BJ131" s="262"/>
      <c r="BK131" s="262"/>
      <c r="BL131" s="262"/>
      <c r="BM131" s="262"/>
      <c r="BN131" s="262"/>
      <c r="BO131" s="262"/>
      <c r="BP131" s="262"/>
      <c r="BQ131" s="262"/>
      <c r="BR131" s="262"/>
      <c r="BS131" s="314"/>
      <c r="BT131" s="186"/>
      <c r="BU131" s="186"/>
      <c r="BV131" s="186"/>
      <c r="BW131" s="186"/>
      <c r="BX131" s="186"/>
      <c r="BY131" s="186"/>
      <c r="BZ131" s="184"/>
      <c r="CA131" s="184"/>
      <c r="CB131" s="184"/>
      <c r="CC131" s="184"/>
      <c r="CD131" s="184"/>
      <c r="CE131" s="184"/>
      <c r="CF131" s="184"/>
      <c r="CG131" s="184"/>
      <c r="CH131" s="184"/>
      <c r="CI131" s="184"/>
      <c r="CJ131" s="184"/>
      <c r="CK131" s="184"/>
      <c r="CL131" s="184"/>
      <c r="CM131" s="184"/>
      <c r="CN131" s="184"/>
      <c r="CO131" s="184"/>
      <c r="CP131" s="184"/>
      <c r="CQ131" s="184"/>
      <c r="CR131" s="184"/>
      <c r="CS131" s="184"/>
      <c r="CT131" s="184"/>
      <c r="CU131" s="184"/>
      <c r="CV131" s="184"/>
      <c r="CW131" s="184"/>
      <c r="CX131" s="184"/>
      <c r="CY131" s="184"/>
      <c r="CZ131" s="184"/>
      <c r="DA131" s="184"/>
      <c r="DB131" s="184"/>
      <c r="DC131" s="184"/>
      <c r="DD131" s="184"/>
      <c r="DE131" s="184"/>
      <c r="DF131" s="184"/>
      <c r="DG131" s="184"/>
      <c r="DH131" s="184"/>
      <c r="DI131" s="184"/>
      <c r="DJ131" s="184"/>
      <c r="DK131" s="184"/>
      <c r="DL131" s="184"/>
      <c r="DM131" s="184"/>
      <c r="DN131" s="184"/>
      <c r="DO131" s="184"/>
      <c r="DP131" s="184"/>
      <c r="DQ131" s="184"/>
      <c r="DR131" s="184"/>
      <c r="DS131" s="184"/>
      <c r="DT131" s="184"/>
      <c r="DU131" s="184"/>
      <c r="DV131" s="184"/>
      <c r="DW131" s="184"/>
      <c r="DX131" s="184"/>
      <c r="DY131" s="184"/>
      <c r="DZ131" s="184"/>
      <c r="EA131" s="224"/>
    </row>
    <row r="132" spans="1:131" ht="10.15" hidden="1" customHeight="1" x14ac:dyDescent="0.2">
      <c r="A132" s="184"/>
      <c r="B132" s="186"/>
      <c r="C132" s="186"/>
      <c r="D132" s="186"/>
      <c r="E132" s="186"/>
      <c r="F132" s="269"/>
      <c r="G132" s="184"/>
      <c r="H132" s="184"/>
      <c r="I132" s="184"/>
      <c r="J132" s="184"/>
      <c r="K132" s="184"/>
      <c r="L132" s="184"/>
      <c r="M132" s="184"/>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2"/>
      <c r="AI132" s="262"/>
      <c r="AJ132" s="262"/>
      <c r="AK132" s="262"/>
      <c r="AL132" s="262"/>
      <c r="AM132" s="262"/>
      <c r="AN132" s="262"/>
      <c r="AO132" s="262"/>
      <c r="AP132" s="262"/>
      <c r="AQ132" s="262"/>
      <c r="AR132" s="262"/>
      <c r="AS132" s="262"/>
      <c r="AT132" s="262"/>
      <c r="AU132" s="262"/>
      <c r="AV132" s="262"/>
      <c r="AW132" s="262"/>
      <c r="AX132" s="262"/>
      <c r="AY132" s="262"/>
      <c r="AZ132" s="262"/>
      <c r="BA132" s="262"/>
      <c r="BB132" s="262"/>
      <c r="BC132" s="262"/>
      <c r="BD132" s="262"/>
      <c r="BE132" s="262"/>
      <c r="BF132" s="262"/>
      <c r="BG132" s="262"/>
      <c r="BH132" s="262"/>
      <c r="BI132" s="262"/>
      <c r="BJ132" s="262"/>
      <c r="BK132" s="262"/>
      <c r="BL132" s="262"/>
      <c r="BM132" s="262"/>
      <c r="BN132" s="262"/>
      <c r="BO132" s="262"/>
      <c r="BP132" s="262"/>
      <c r="BQ132" s="262"/>
      <c r="BR132" s="262"/>
      <c r="BS132" s="314"/>
      <c r="BT132" s="186"/>
      <c r="BU132" s="186"/>
      <c r="BV132" s="186"/>
      <c r="BW132" s="186"/>
      <c r="BX132" s="186"/>
      <c r="BY132" s="186"/>
      <c r="BZ132" s="184"/>
      <c r="CA132" s="184"/>
      <c r="CB132" s="184"/>
      <c r="CC132" s="184"/>
      <c r="CD132" s="184"/>
      <c r="CE132" s="184"/>
      <c r="CF132" s="184"/>
      <c r="CG132" s="184"/>
      <c r="CH132" s="184"/>
      <c r="CI132" s="184"/>
      <c r="CJ132" s="184"/>
      <c r="CK132" s="184"/>
      <c r="CL132" s="184"/>
      <c r="CM132" s="184"/>
      <c r="CN132" s="184"/>
      <c r="CO132" s="184"/>
      <c r="CP132" s="184"/>
      <c r="CQ132" s="184"/>
      <c r="CR132" s="184"/>
      <c r="CS132" s="184"/>
      <c r="CT132" s="184"/>
      <c r="CU132" s="184"/>
      <c r="CV132" s="184"/>
      <c r="CW132" s="184"/>
      <c r="CX132" s="184"/>
      <c r="CY132" s="184"/>
      <c r="CZ132" s="184"/>
      <c r="DA132" s="184"/>
      <c r="DB132" s="184"/>
      <c r="DC132" s="184"/>
      <c r="DD132" s="184"/>
      <c r="DE132" s="184"/>
      <c r="DF132" s="184"/>
      <c r="DG132" s="184"/>
      <c r="DH132" s="184"/>
      <c r="DI132" s="184"/>
      <c r="DJ132" s="184"/>
      <c r="DK132" s="184"/>
      <c r="DL132" s="184"/>
      <c r="DM132" s="184"/>
      <c r="DN132" s="184"/>
      <c r="DO132" s="184"/>
      <c r="DP132" s="184"/>
      <c r="DQ132" s="184"/>
      <c r="DR132" s="184"/>
      <c r="DS132" s="184"/>
      <c r="DT132" s="184"/>
      <c r="DU132" s="184"/>
      <c r="DV132" s="184"/>
      <c r="DW132" s="184"/>
      <c r="DX132" s="184"/>
      <c r="DY132" s="184"/>
      <c r="DZ132" s="184"/>
      <c r="EA132" s="224"/>
    </row>
    <row r="133" spans="1:131" ht="12.2" hidden="1" customHeight="1" x14ac:dyDescent="0.2">
      <c r="A133" s="184"/>
      <c r="B133" s="186"/>
      <c r="C133" s="186"/>
      <c r="D133" s="186"/>
      <c r="E133" s="186"/>
      <c r="F133" s="269"/>
      <c r="G133" s="184"/>
      <c r="H133" s="184"/>
      <c r="I133" s="184"/>
      <c r="J133" s="184"/>
      <c r="K133" s="184"/>
      <c r="L133" s="184"/>
      <c r="M133" s="284"/>
      <c r="N133" s="285" t="s">
        <v>894</v>
      </c>
      <c r="O133" s="286"/>
      <c r="P133" s="286"/>
      <c r="Q133" s="286"/>
      <c r="R133" s="286"/>
      <c r="S133" s="286"/>
      <c r="T133" s="286"/>
      <c r="U133" s="286"/>
      <c r="V133" s="286"/>
      <c r="W133" s="286"/>
      <c r="X133" s="286"/>
      <c r="Y133" s="286"/>
      <c r="Z133" s="286"/>
      <c r="AA133" s="286"/>
      <c r="AB133" s="286"/>
      <c r="AC133" s="286"/>
      <c r="AD133" s="286"/>
      <c r="AE133" s="286"/>
      <c r="AF133" s="286"/>
      <c r="AG133" s="286"/>
      <c r="AH133" s="286"/>
      <c r="AI133" s="286"/>
      <c r="AJ133" s="286"/>
      <c r="AK133" s="286"/>
      <c r="AL133" s="286"/>
      <c r="AM133" s="286"/>
      <c r="AN133" s="286"/>
      <c r="AO133" s="286"/>
      <c r="AP133" s="286"/>
      <c r="AQ133" s="286"/>
      <c r="AR133" s="286"/>
      <c r="AS133" s="286"/>
      <c r="AT133" s="286"/>
      <c r="AU133" s="286"/>
      <c r="AV133" s="286"/>
      <c r="AW133" s="286"/>
      <c r="AX133" s="286"/>
      <c r="AY133" s="286"/>
      <c r="AZ133" s="286"/>
      <c r="BA133" s="286"/>
      <c r="BB133" s="286"/>
      <c r="BC133" s="286"/>
      <c r="BD133" s="286"/>
      <c r="BE133" s="286"/>
      <c r="BF133" s="286"/>
      <c r="BG133" s="286"/>
      <c r="BH133" s="286"/>
      <c r="BI133" s="286"/>
      <c r="BJ133" s="286"/>
      <c r="BK133" s="286"/>
      <c r="BL133" s="286"/>
      <c r="BM133" s="286"/>
      <c r="BN133" s="286"/>
      <c r="BO133" s="286"/>
      <c r="BP133" s="262"/>
      <c r="BQ133" s="262"/>
      <c r="BR133" s="262"/>
      <c r="BS133" s="314"/>
      <c r="BT133" s="186"/>
      <c r="BU133" s="186"/>
      <c r="BV133" s="186"/>
      <c r="BW133" s="186"/>
      <c r="BX133" s="186"/>
      <c r="BY133" s="186"/>
      <c r="BZ133" s="184"/>
      <c r="CA133" s="184"/>
      <c r="CB133" s="184"/>
      <c r="CC133" s="184"/>
      <c r="CD133" s="184"/>
      <c r="CE133" s="184"/>
      <c r="CF133" s="184"/>
      <c r="CG133" s="184"/>
      <c r="CH133" s="184"/>
      <c r="CI133" s="184"/>
      <c r="CJ133" s="184"/>
      <c r="CK133" s="184"/>
      <c r="CL133" s="184"/>
      <c r="CM133" s="184"/>
      <c r="CN133" s="184"/>
      <c r="CO133" s="184"/>
      <c r="CP133" s="184"/>
      <c r="CQ133" s="184"/>
      <c r="CR133" s="184"/>
      <c r="CS133" s="184"/>
      <c r="CT133" s="184"/>
      <c r="CU133" s="184"/>
      <c r="CV133" s="184"/>
      <c r="CW133" s="184"/>
      <c r="CX133" s="184"/>
      <c r="CY133" s="184"/>
      <c r="CZ133" s="184"/>
      <c r="DA133" s="184"/>
      <c r="DB133" s="184"/>
      <c r="DC133" s="184"/>
      <c r="DD133" s="184"/>
      <c r="DE133" s="184"/>
      <c r="DF133" s="184"/>
      <c r="DG133" s="184"/>
      <c r="DH133" s="184"/>
      <c r="DI133" s="184"/>
      <c r="DJ133" s="184"/>
      <c r="DK133" s="184"/>
      <c r="DL133" s="184"/>
      <c r="DM133" s="184"/>
      <c r="DN133" s="184"/>
      <c r="DO133" s="184"/>
      <c r="DP133" s="184"/>
      <c r="DQ133" s="184"/>
      <c r="DR133" s="184"/>
      <c r="DS133" s="184"/>
      <c r="DT133" s="184"/>
      <c r="DU133" s="184"/>
      <c r="DV133" s="184"/>
      <c r="DW133" s="184"/>
      <c r="DX133" s="184"/>
      <c r="DY133" s="184"/>
      <c r="DZ133" s="184"/>
      <c r="EA133" s="224"/>
    </row>
    <row r="134" spans="1:131" ht="5.0999999999999996" hidden="1" customHeight="1" x14ac:dyDescent="0.2">
      <c r="A134" s="184"/>
      <c r="B134" s="186"/>
      <c r="C134" s="186"/>
      <c r="D134" s="186"/>
      <c r="E134" s="186"/>
      <c r="F134" s="269"/>
      <c r="G134" s="184"/>
      <c r="H134" s="184"/>
      <c r="I134" s="184"/>
      <c r="J134" s="184"/>
      <c r="K134" s="184"/>
      <c r="L134" s="184"/>
      <c r="M134" s="284"/>
      <c r="N134" s="286"/>
      <c r="O134" s="286"/>
      <c r="P134" s="286"/>
      <c r="Q134" s="286"/>
      <c r="R134" s="286"/>
      <c r="S134" s="286"/>
      <c r="T134" s="286"/>
      <c r="U134" s="286"/>
      <c r="V134" s="286"/>
      <c r="W134" s="286"/>
      <c r="X134" s="286"/>
      <c r="Y134" s="286"/>
      <c r="Z134" s="286"/>
      <c r="AA134" s="286"/>
      <c r="AB134" s="286"/>
      <c r="AC134" s="286"/>
      <c r="AD134" s="286"/>
      <c r="AE134" s="286"/>
      <c r="AF134" s="286"/>
      <c r="AG134" s="286"/>
      <c r="AH134" s="286"/>
      <c r="AI134" s="286"/>
      <c r="AJ134" s="286"/>
      <c r="AK134" s="286"/>
      <c r="AL134" s="286"/>
      <c r="AM134" s="286"/>
      <c r="AN134" s="286"/>
      <c r="AO134" s="286"/>
      <c r="AP134" s="286"/>
      <c r="AQ134" s="286"/>
      <c r="AR134" s="286"/>
      <c r="AS134" s="286"/>
      <c r="AT134" s="286"/>
      <c r="AU134" s="286"/>
      <c r="AV134" s="286"/>
      <c r="AW134" s="286"/>
      <c r="AX134" s="286"/>
      <c r="AY134" s="286"/>
      <c r="AZ134" s="286"/>
      <c r="BA134" s="286"/>
      <c r="BB134" s="286"/>
      <c r="BC134" s="286"/>
      <c r="BD134" s="286"/>
      <c r="BE134" s="286"/>
      <c r="BF134" s="286"/>
      <c r="BG134" s="286"/>
      <c r="BH134" s="286"/>
      <c r="BI134" s="286"/>
      <c r="BJ134" s="286"/>
      <c r="BK134" s="286"/>
      <c r="BL134" s="286"/>
      <c r="BM134" s="286"/>
      <c r="BN134" s="286"/>
      <c r="BO134" s="286"/>
      <c r="BP134" s="262"/>
      <c r="BQ134" s="262"/>
      <c r="BR134" s="262"/>
      <c r="BS134" s="314"/>
      <c r="BT134" s="186"/>
      <c r="BU134" s="186"/>
      <c r="BV134" s="186"/>
      <c r="BW134" s="186"/>
      <c r="BX134" s="186"/>
      <c r="BY134" s="186"/>
      <c r="BZ134" s="184"/>
      <c r="CA134" s="184"/>
      <c r="CB134" s="184"/>
      <c r="CC134" s="184"/>
      <c r="CD134" s="184"/>
      <c r="CE134" s="184"/>
      <c r="CF134" s="184"/>
      <c r="CG134" s="184"/>
      <c r="CH134" s="184"/>
      <c r="CI134" s="184"/>
      <c r="CJ134" s="184"/>
      <c r="CK134" s="184"/>
      <c r="CL134" s="184"/>
      <c r="CM134" s="184"/>
      <c r="CN134" s="184"/>
      <c r="CO134" s="184"/>
      <c r="CP134" s="184"/>
      <c r="CQ134" s="184"/>
      <c r="CR134" s="184"/>
      <c r="CS134" s="184"/>
      <c r="CT134" s="184"/>
      <c r="CU134" s="184"/>
      <c r="CV134" s="184"/>
      <c r="CW134" s="184"/>
      <c r="CX134" s="184"/>
      <c r="CY134" s="184"/>
      <c r="CZ134" s="184"/>
      <c r="DA134" s="184"/>
      <c r="DB134" s="184"/>
      <c r="DC134" s="184"/>
      <c r="DD134" s="184"/>
      <c r="DE134" s="184"/>
      <c r="DF134" s="184"/>
      <c r="DG134" s="184"/>
      <c r="DH134" s="184"/>
      <c r="DI134" s="184"/>
      <c r="DJ134" s="184"/>
      <c r="DK134" s="184"/>
      <c r="DL134" s="184"/>
      <c r="DM134" s="184"/>
      <c r="DN134" s="184"/>
      <c r="DO134" s="184"/>
      <c r="DP134" s="184"/>
      <c r="DQ134" s="184"/>
      <c r="DR134" s="184"/>
      <c r="DS134" s="184"/>
      <c r="DT134" s="184"/>
      <c r="DU134" s="184"/>
      <c r="DV134" s="184"/>
      <c r="DW134" s="184"/>
      <c r="DX134" s="184"/>
      <c r="DY134" s="184"/>
      <c r="DZ134" s="184"/>
      <c r="EA134" s="224"/>
    </row>
    <row r="135" spans="1:131" ht="12.2" hidden="1" customHeight="1" x14ac:dyDescent="0.2">
      <c r="A135" s="184"/>
      <c r="B135" s="186"/>
      <c r="C135" s="186"/>
      <c r="D135" s="186"/>
      <c r="E135" s="186"/>
      <c r="F135" s="269"/>
      <c r="G135" s="184"/>
      <c r="H135" s="184"/>
      <c r="I135" s="184"/>
      <c r="J135" s="184"/>
      <c r="K135" s="184"/>
      <c r="L135" s="184"/>
      <c r="M135" s="284"/>
      <c r="N135" s="287" t="s">
        <v>892</v>
      </c>
      <c r="O135" s="286"/>
      <c r="P135" s="286"/>
      <c r="Q135" s="286"/>
      <c r="R135" s="286"/>
      <c r="S135" s="286"/>
      <c r="T135" s="286"/>
      <c r="U135" s="286"/>
      <c r="V135" s="286"/>
      <c r="W135" s="286"/>
      <c r="X135" s="286"/>
      <c r="Y135" s="286"/>
      <c r="Z135" s="286"/>
      <c r="AA135" s="286"/>
      <c r="AB135" s="286"/>
      <c r="AC135" s="286"/>
      <c r="AD135" s="286"/>
      <c r="AE135" s="286"/>
      <c r="AF135" s="286"/>
      <c r="AG135" s="286"/>
      <c r="AH135" s="286"/>
      <c r="AI135" s="286"/>
      <c r="AJ135" s="286"/>
      <c r="AK135" s="286"/>
      <c r="AL135" s="286"/>
      <c r="AM135" s="286"/>
      <c r="AN135" s="286"/>
      <c r="AO135" s="286"/>
      <c r="AP135" s="286"/>
      <c r="AQ135" s="286"/>
      <c r="AR135" s="286"/>
      <c r="AS135" s="286"/>
      <c r="AT135" s="286"/>
      <c r="AU135" s="286"/>
      <c r="AV135" s="286"/>
      <c r="AW135" s="286"/>
      <c r="AX135" s="286"/>
      <c r="AY135" s="286"/>
      <c r="AZ135" s="286"/>
      <c r="BA135" s="286"/>
      <c r="BB135" s="646" t="e">
        <f>Daten!E511</f>
        <v>#N/A</v>
      </c>
      <c r="BC135" s="660"/>
      <c r="BD135" s="660"/>
      <c r="BE135" s="660"/>
      <c r="BF135" s="660"/>
      <c r="BG135" s="660"/>
      <c r="BH135" s="660"/>
      <c r="BI135" s="660"/>
      <c r="BJ135" s="660"/>
      <c r="BK135" s="660"/>
      <c r="BL135" s="660"/>
      <c r="BM135" s="286"/>
      <c r="BN135" s="287" t="s">
        <v>853</v>
      </c>
      <c r="BO135" s="286"/>
      <c r="BP135" s="262"/>
      <c r="BQ135" s="262"/>
      <c r="BR135" s="262"/>
      <c r="BS135" s="314"/>
      <c r="BT135" s="186"/>
      <c r="BU135" s="186"/>
      <c r="BV135" s="186"/>
      <c r="BW135" s="186"/>
      <c r="BX135" s="186"/>
      <c r="BY135" s="186"/>
      <c r="BZ135" s="184"/>
      <c r="CA135" s="184"/>
      <c r="CB135" s="184"/>
      <c r="CC135" s="184"/>
      <c r="CD135" s="184"/>
      <c r="CE135" s="184"/>
      <c r="CF135" s="184"/>
      <c r="CG135" s="184"/>
      <c r="CH135" s="184"/>
      <c r="CI135" s="184"/>
      <c r="CJ135" s="184"/>
      <c r="CK135" s="184"/>
      <c r="CL135" s="184"/>
      <c r="CM135" s="184"/>
      <c r="CN135" s="184"/>
      <c r="CO135" s="184"/>
      <c r="CP135" s="184"/>
      <c r="CQ135" s="184"/>
      <c r="CR135" s="184"/>
      <c r="CS135" s="184"/>
      <c r="CT135" s="184"/>
      <c r="CU135" s="184"/>
      <c r="CV135" s="184"/>
      <c r="CW135" s="184"/>
      <c r="CX135" s="184"/>
      <c r="CY135" s="184"/>
      <c r="CZ135" s="184"/>
      <c r="DA135" s="184"/>
      <c r="DB135" s="184"/>
      <c r="DC135" s="184"/>
      <c r="DD135" s="184"/>
      <c r="DE135" s="184"/>
      <c r="DF135" s="184"/>
      <c r="DG135" s="184"/>
      <c r="DH135" s="184"/>
      <c r="DI135" s="184"/>
      <c r="DJ135" s="184"/>
      <c r="DK135" s="184"/>
      <c r="DL135" s="184"/>
      <c r="DM135" s="184"/>
      <c r="DN135" s="184"/>
      <c r="DO135" s="184"/>
      <c r="DP135" s="184"/>
      <c r="DQ135" s="184"/>
      <c r="DR135" s="184"/>
      <c r="DS135" s="184"/>
      <c r="DT135" s="184"/>
      <c r="DU135" s="184"/>
      <c r="DV135" s="184"/>
      <c r="DW135" s="184"/>
      <c r="DX135" s="184"/>
      <c r="DY135" s="184"/>
      <c r="DZ135" s="184"/>
      <c r="EA135" s="224"/>
    </row>
    <row r="136" spans="1:131" ht="2.1" hidden="1" customHeight="1" x14ac:dyDescent="0.2">
      <c r="A136" s="184"/>
      <c r="B136" s="186"/>
      <c r="C136" s="186"/>
      <c r="D136" s="186"/>
      <c r="E136" s="186"/>
      <c r="F136" s="269"/>
      <c r="G136" s="184"/>
      <c r="H136" s="184"/>
      <c r="I136" s="184"/>
      <c r="J136" s="184"/>
      <c r="K136" s="184"/>
      <c r="L136" s="184"/>
      <c r="M136" s="284"/>
      <c r="N136" s="286"/>
      <c r="O136" s="286"/>
      <c r="P136" s="286"/>
      <c r="Q136" s="286"/>
      <c r="R136" s="286"/>
      <c r="S136" s="286"/>
      <c r="T136" s="286"/>
      <c r="U136" s="286"/>
      <c r="V136" s="286"/>
      <c r="W136" s="286"/>
      <c r="X136" s="286"/>
      <c r="Y136" s="286"/>
      <c r="Z136" s="286"/>
      <c r="AA136" s="286"/>
      <c r="AB136" s="286"/>
      <c r="AC136" s="286"/>
      <c r="AD136" s="286"/>
      <c r="AE136" s="286"/>
      <c r="AF136" s="286"/>
      <c r="AG136" s="286"/>
      <c r="AH136" s="286"/>
      <c r="AI136" s="286"/>
      <c r="AJ136" s="286"/>
      <c r="AK136" s="286"/>
      <c r="AL136" s="286"/>
      <c r="AM136" s="286"/>
      <c r="AN136" s="286"/>
      <c r="AO136" s="286"/>
      <c r="AP136" s="286"/>
      <c r="AQ136" s="286"/>
      <c r="AR136" s="286"/>
      <c r="AS136" s="286"/>
      <c r="AT136" s="286"/>
      <c r="AU136" s="286"/>
      <c r="AV136" s="286"/>
      <c r="AW136" s="286"/>
      <c r="AX136" s="286"/>
      <c r="AY136" s="286"/>
      <c r="AZ136" s="286"/>
      <c r="BA136" s="286"/>
      <c r="BB136" s="288"/>
      <c r="BC136" s="289"/>
      <c r="BD136" s="289"/>
      <c r="BE136" s="289"/>
      <c r="BF136" s="289"/>
      <c r="BG136" s="289"/>
      <c r="BH136" s="289"/>
      <c r="BI136" s="289"/>
      <c r="BJ136" s="289"/>
      <c r="BK136" s="289"/>
      <c r="BL136" s="289"/>
      <c r="BM136" s="286"/>
      <c r="BN136" s="286"/>
      <c r="BO136" s="286"/>
      <c r="BP136" s="262"/>
      <c r="BQ136" s="262"/>
      <c r="BR136" s="262"/>
      <c r="BS136" s="314"/>
      <c r="BT136" s="186"/>
      <c r="BU136" s="186"/>
      <c r="BV136" s="186"/>
      <c r="BW136" s="186"/>
      <c r="BX136" s="186"/>
      <c r="BY136" s="186"/>
      <c r="BZ136" s="184"/>
      <c r="CA136" s="184"/>
      <c r="CB136" s="184"/>
      <c r="CC136" s="184"/>
      <c r="CD136" s="184"/>
      <c r="CE136" s="184"/>
      <c r="CF136" s="184"/>
      <c r="CG136" s="184"/>
      <c r="CH136" s="184"/>
      <c r="CI136" s="184"/>
      <c r="CJ136" s="184"/>
      <c r="CK136" s="184"/>
      <c r="CL136" s="184"/>
      <c r="CM136" s="184"/>
      <c r="CN136" s="184"/>
      <c r="CO136" s="184"/>
      <c r="CP136" s="184"/>
      <c r="CQ136" s="184"/>
      <c r="CR136" s="184"/>
      <c r="CS136" s="184"/>
      <c r="CT136" s="184"/>
      <c r="CU136" s="184"/>
      <c r="CV136" s="184"/>
      <c r="CW136" s="184"/>
      <c r="CX136" s="184"/>
      <c r="CY136" s="184"/>
      <c r="CZ136" s="184"/>
      <c r="DA136" s="184"/>
      <c r="DB136" s="184"/>
      <c r="DC136" s="184"/>
      <c r="DD136" s="184"/>
      <c r="DE136" s="184"/>
      <c r="DF136" s="184"/>
      <c r="DG136" s="184"/>
      <c r="DH136" s="184"/>
      <c r="DI136" s="184"/>
      <c r="DJ136" s="184"/>
      <c r="DK136" s="184"/>
      <c r="DL136" s="184"/>
      <c r="DM136" s="184"/>
      <c r="DN136" s="184"/>
      <c r="DO136" s="184"/>
      <c r="DP136" s="184"/>
      <c r="DQ136" s="184"/>
      <c r="DR136" s="184"/>
      <c r="DS136" s="184"/>
      <c r="DT136" s="184"/>
      <c r="DU136" s="184"/>
      <c r="DV136" s="184"/>
      <c r="DW136" s="184"/>
      <c r="DX136" s="184"/>
      <c r="DY136" s="184"/>
      <c r="DZ136" s="184"/>
      <c r="EA136" s="224"/>
    </row>
    <row r="137" spans="1:131" ht="10.15" hidden="1" customHeight="1" x14ac:dyDescent="0.2">
      <c r="A137" s="184"/>
      <c r="B137" s="186"/>
      <c r="C137" s="186"/>
      <c r="D137" s="186"/>
      <c r="E137" s="186"/>
      <c r="F137" s="269"/>
      <c r="G137" s="184"/>
      <c r="H137" s="184"/>
      <c r="I137" s="184"/>
      <c r="J137" s="184"/>
      <c r="K137" s="184"/>
      <c r="L137" s="184"/>
      <c r="M137" s="284"/>
      <c r="N137" s="290" t="str">
        <f>IF(Daten!D362=1,Daten!G506&amp;""&amp;TEXT(Daten!E512,"0,00")&amp;" "&amp;Daten!G507&amp;" "&amp;TEXT(Daten!E513,"0,00")&amp;" "&amp;Daten!G511,"")</f>
        <v/>
      </c>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286"/>
      <c r="AK137" s="286"/>
      <c r="AL137" s="286"/>
      <c r="AM137" s="286"/>
      <c r="AN137" s="286"/>
      <c r="AO137" s="286"/>
      <c r="AP137" s="286"/>
      <c r="AQ137" s="286"/>
      <c r="AR137" s="286"/>
      <c r="AS137" s="286"/>
      <c r="AT137" s="286"/>
      <c r="AU137" s="286"/>
      <c r="AV137" s="286"/>
      <c r="AW137" s="286"/>
      <c r="AX137" s="286"/>
      <c r="AY137" s="286"/>
      <c r="AZ137" s="286"/>
      <c r="BA137" s="286"/>
      <c r="BB137" s="286"/>
      <c r="BC137" s="286"/>
      <c r="BD137" s="286"/>
      <c r="BE137" s="286"/>
      <c r="BF137" s="286"/>
      <c r="BG137" s="286"/>
      <c r="BH137" s="286"/>
      <c r="BI137" s="286"/>
      <c r="BJ137" s="286"/>
      <c r="BK137" s="286"/>
      <c r="BL137" s="286"/>
      <c r="BM137" s="286"/>
      <c r="BN137" s="286"/>
      <c r="BO137" s="286"/>
      <c r="BP137" s="262"/>
      <c r="BQ137" s="262"/>
      <c r="BR137" s="262"/>
      <c r="BS137" s="314"/>
      <c r="BT137" s="186"/>
      <c r="BU137" s="186"/>
      <c r="BV137" s="186"/>
      <c r="BW137" s="186"/>
      <c r="BX137" s="186"/>
      <c r="BY137" s="186"/>
      <c r="BZ137" s="184"/>
      <c r="CA137" s="184"/>
      <c r="CB137" s="184"/>
      <c r="CC137" s="184"/>
      <c r="CD137" s="184"/>
      <c r="CE137" s="184"/>
      <c r="CF137" s="184"/>
      <c r="CG137" s="184"/>
      <c r="CH137" s="184"/>
      <c r="CI137" s="184"/>
      <c r="CJ137" s="184"/>
      <c r="CK137" s="184"/>
      <c r="CL137" s="184"/>
      <c r="CM137" s="184"/>
      <c r="CN137" s="184"/>
      <c r="CO137" s="184"/>
      <c r="CP137" s="184"/>
      <c r="CQ137" s="184"/>
      <c r="CR137" s="184"/>
      <c r="CS137" s="184"/>
      <c r="CT137" s="184"/>
      <c r="CU137" s="184"/>
      <c r="CV137" s="184"/>
      <c r="CW137" s="184"/>
      <c r="CX137" s="184"/>
      <c r="CY137" s="184"/>
      <c r="CZ137" s="184"/>
      <c r="DA137" s="184"/>
      <c r="DB137" s="184"/>
      <c r="DC137" s="184"/>
      <c r="DD137" s="184"/>
      <c r="DE137" s="184"/>
      <c r="DF137" s="184"/>
      <c r="DG137" s="184"/>
      <c r="DH137" s="184"/>
      <c r="DI137" s="184"/>
      <c r="DJ137" s="184"/>
      <c r="DK137" s="184"/>
      <c r="DL137" s="184"/>
      <c r="DM137" s="184"/>
      <c r="DN137" s="184"/>
      <c r="DO137" s="184"/>
      <c r="DP137" s="184"/>
      <c r="DQ137" s="184"/>
      <c r="DR137" s="184"/>
      <c r="DS137" s="184"/>
      <c r="DT137" s="184"/>
      <c r="DU137" s="184"/>
      <c r="DV137" s="184"/>
      <c r="DW137" s="184"/>
      <c r="DX137" s="184"/>
      <c r="DY137" s="184"/>
      <c r="DZ137" s="184"/>
      <c r="EA137" s="224"/>
    </row>
    <row r="138" spans="1:131" ht="5.0999999999999996" hidden="1" customHeight="1" x14ac:dyDescent="0.2">
      <c r="A138" s="184"/>
      <c r="B138" s="186"/>
      <c r="C138" s="186"/>
      <c r="D138" s="186"/>
      <c r="E138" s="186"/>
      <c r="F138" s="269"/>
      <c r="G138" s="184"/>
      <c r="H138" s="184"/>
      <c r="I138" s="184"/>
      <c r="J138" s="184"/>
      <c r="K138" s="184"/>
      <c r="L138" s="184"/>
      <c r="M138" s="284"/>
      <c r="N138" s="286"/>
      <c r="O138" s="286"/>
      <c r="P138" s="286"/>
      <c r="Q138" s="286"/>
      <c r="R138" s="286"/>
      <c r="S138" s="286"/>
      <c r="T138" s="286"/>
      <c r="U138" s="286"/>
      <c r="V138" s="286"/>
      <c r="W138" s="286"/>
      <c r="X138" s="286"/>
      <c r="Y138" s="286"/>
      <c r="Z138" s="286"/>
      <c r="AA138" s="286"/>
      <c r="AB138" s="286"/>
      <c r="AC138" s="286"/>
      <c r="AD138" s="286"/>
      <c r="AE138" s="286"/>
      <c r="AF138" s="286"/>
      <c r="AG138" s="286"/>
      <c r="AH138" s="286"/>
      <c r="AI138" s="286"/>
      <c r="AJ138" s="286"/>
      <c r="AK138" s="286"/>
      <c r="AL138" s="286"/>
      <c r="AM138" s="286"/>
      <c r="AN138" s="286"/>
      <c r="AO138" s="286"/>
      <c r="AP138" s="286"/>
      <c r="AQ138" s="286"/>
      <c r="AR138" s="286"/>
      <c r="AS138" s="286"/>
      <c r="AT138" s="286"/>
      <c r="AU138" s="286"/>
      <c r="AV138" s="286"/>
      <c r="AW138" s="286"/>
      <c r="AX138" s="286"/>
      <c r="AY138" s="286"/>
      <c r="AZ138" s="286"/>
      <c r="BA138" s="286"/>
      <c r="BB138" s="286"/>
      <c r="BC138" s="286"/>
      <c r="BD138" s="286"/>
      <c r="BE138" s="286"/>
      <c r="BF138" s="286"/>
      <c r="BG138" s="286"/>
      <c r="BH138" s="286"/>
      <c r="BI138" s="286"/>
      <c r="BJ138" s="286"/>
      <c r="BK138" s="286"/>
      <c r="BL138" s="286"/>
      <c r="BM138" s="286"/>
      <c r="BN138" s="286"/>
      <c r="BO138" s="286"/>
      <c r="BP138" s="262"/>
      <c r="BQ138" s="262"/>
      <c r="BR138" s="262"/>
      <c r="BS138" s="314"/>
      <c r="BT138" s="186"/>
      <c r="BU138" s="186"/>
      <c r="BV138" s="186"/>
      <c r="BW138" s="186"/>
      <c r="BX138" s="186"/>
      <c r="BY138" s="186"/>
      <c r="BZ138" s="184"/>
      <c r="CA138" s="184"/>
      <c r="CB138" s="184"/>
      <c r="CC138" s="184"/>
      <c r="CD138" s="184"/>
      <c r="CE138" s="184"/>
      <c r="CF138" s="184"/>
      <c r="CG138" s="184"/>
      <c r="CH138" s="184"/>
      <c r="CI138" s="184"/>
      <c r="CJ138" s="184"/>
      <c r="CK138" s="184"/>
      <c r="CL138" s="184"/>
      <c r="CM138" s="184"/>
      <c r="CN138" s="184"/>
      <c r="CO138" s="184"/>
      <c r="CP138" s="184"/>
      <c r="CQ138" s="184"/>
      <c r="CR138" s="184"/>
      <c r="CS138" s="184"/>
      <c r="CT138" s="184"/>
      <c r="CU138" s="184"/>
      <c r="CV138" s="184"/>
      <c r="CW138" s="184"/>
      <c r="CX138" s="184"/>
      <c r="CY138" s="184"/>
      <c r="CZ138" s="184"/>
      <c r="DA138" s="184"/>
      <c r="DB138" s="184"/>
      <c r="DC138" s="184"/>
      <c r="DD138" s="184"/>
      <c r="DE138" s="184"/>
      <c r="DF138" s="184"/>
      <c r="DG138" s="184"/>
      <c r="DH138" s="184"/>
      <c r="DI138" s="184"/>
      <c r="DJ138" s="184"/>
      <c r="DK138" s="184"/>
      <c r="DL138" s="184"/>
      <c r="DM138" s="184"/>
      <c r="DN138" s="184"/>
      <c r="DO138" s="184"/>
      <c r="DP138" s="184"/>
      <c r="DQ138" s="184"/>
      <c r="DR138" s="184"/>
      <c r="DS138" s="184"/>
      <c r="DT138" s="184"/>
      <c r="DU138" s="184"/>
      <c r="DV138" s="184"/>
      <c r="DW138" s="184"/>
      <c r="DX138" s="184"/>
      <c r="DY138" s="184"/>
      <c r="DZ138" s="184"/>
      <c r="EA138" s="224"/>
    </row>
    <row r="139" spans="1:131" ht="12.2" hidden="1" customHeight="1" x14ac:dyDescent="0.2">
      <c r="A139" s="184"/>
      <c r="B139" s="186"/>
      <c r="C139" s="186"/>
      <c r="D139" s="186"/>
      <c r="E139" s="186"/>
      <c r="F139" s="269"/>
      <c r="G139" s="184"/>
      <c r="H139" s="184"/>
      <c r="I139" s="184"/>
      <c r="J139" s="184"/>
      <c r="K139" s="184"/>
      <c r="L139" s="184"/>
      <c r="M139" s="284"/>
      <c r="N139" s="287" t="s">
        <v>878</v>
      </c>
      <c r="O139" s="286"/>
      <c r="P139" s="286"/>
      <c r="Q139" s="286"/>
      <c r="R139" s="286"/>
      <c r="S139" s="286"/>
      <c r="T139" s="286"/>
      <c r="U139" s="286"/>
      <c r="V139" s="286"/>
      <c r="W139" s="286"/>
      <c r="X139" s="286"/>
      <c r="Y139" s="286"/>
      <c r="Z139" s="286"/>
      <c r="AA139" s="286"/>
      <c r="AB139" s="286"/>
      <c r="AC139" s="286"/>
      <c r="AD139" s="286"/>
      <c r="AE139" s="286"/>
      <c r="AF139" s="286"/>
      <c r="AG139" s="286"/>
      <c r="AH139" s="286"/>
      <c r="AI139" s="286"/>
      <c r="AJ139" s="286"/>
      <c r="AK139" s="286"/>
      <c r="AL139" s="286"/>
      <c r="AM139" s="286"/>
      <c r="AN139" s="286"/>
      <c r="AO139" s="286"/>
      <c r="AP139" s="286"/>
      <c r="AQ139" s="286"/>
      <c r="AR139" s="286"/>
      <c r="AS139" s="286"/>
      <c r="AT139" s="286"/>
      <c r="AU139" s="286"/>
      <c r="AV139" s="286"/>
      <c r="AW139" s="286"/>
      <c r="AX139" s="286"/>
      <c r="AY139" s="286"/>
      <c r="AZ139" s="286"/>
      <c r="BA139" s="286"/>
      <c r="BB139" s="646">
        <f>Daten!E504</f>
        <v>0</v>
      </c>
      <c r="BC139" s="660"/>
      <c r="BD139" s="660"/>
      <c r="BE139" s="660"/>
      <c r="BF139" s="660"/>
      <c r="BG139" s="660"/>
      <c r="BH139" s="660"/>
      <c r="BI139" s="660"/>
      <c r="BJ139" s="660"/>
      <c r="BK139" s="660"/>
      <c r="BL139" s="660"/>
      <c r="BM139" s="286"/>
      <c r="BN139" s="287" t="s">
        <v>853</v>
      </c>
      <c r="BO139" s="286"/>
      <c r="BP139" s="262"/>
      <c r="BQ139" s="262"/>
      <c r="BR139" s="262"/>
      <c r="BS139" s="314"/>
      <c r="BT139" s="186"/>
      <c r="BU139" s="186"/>
      <c r="BV139" s="186"/>
      <c r="BW139" s="186"/>
      <c r="BX139" s="186"/>
      <c r="BY139" s="186"/>
      <c r="BZ139" s="184"/>
      <c r="CA139" s="184"/>
      <c r="CB139" s="184"/>
      <c r="CC139" s="184"/>
      <c r="CD139" s="184"/>
      <c r="CE139" s="184"/>
      <c r="CF139" s="184"/>
      <c r="CG139" s="184"/>
      <c r="CH139" s="184"/>
      <c r="CI139" s="184"/>
      <c r="CJ139" s="184"/>
      <c r="CK139" s="184"/>
      <c r="CL139" s="184"/>
      <c r="CM139" s="184"/>
      <c r="CN139" s="184"/>
      <c r="CO139" s="184"/>
      <c r="CP139" s="184"/>
      <c r="CQ139" s="184"/>
      <c r="CR139" s="184"/>
      <c r="CS139" s="184"/>
      <c r="CT139" s="184"/>
      <c r="CU139" s="184"/>
      <c r="CV139" s="184"/>
      <c r="CW139" s="184"/>
      <c r="CX139" s="184"/>
      <c r="CY139" s="184"/>
      <c r="CZ139" s="184"/>
      <c r="DA139" s="184"/>
      <c r="DB139" s="184"/>
      <c r="DC139" s="184"/>
      <c r="DD139" s="184"/>
      <c r="DE139" s="184"/>
      <c r="DF139" s="184"/>
      <c r="DG139" s="184"/>
      <c r="DH139" s="184"/>
      <c r="DI139" s="184"/>
      <c r="DJ139" s="184"/>
      <c r="DK139" s="184"/>
      <c r="DL139" s="184"/>
      <c r="DM139" s="184"/>
      <c r="DN139" s="184"/>
      <c r="DO139" s="184"/>
      <c r="DP139" s="184"/>
      <c r="DQ139" s="184"/>
      <c r="DR139" s="184"/>
      <c r="DS139" s="184"/>
      <c r="DT139" s="184"/>
      <c r="DU139" s="184"/>
      <c r="DV139" s="184"/>
      <c r="DW139" s="184"/>
      <c r="DX139" s="184"/>
      <c r="DY139" s="184"/>
      <c r="DZ139" s="184"/>
      <c r="EA139" s="224"/>
    </row>
    <row r="140" spans="1:131" ht="12.2" hidden="1" customHeight="1" x14ac:dyDescent="0.2">
      <c r="A140" s="184"/>
      <c r="B140" s="186"/>
      <c r="C140" s="186"/>
      <c r="D140" s="186"/>
      <c r="E140" s="186"/>
      <c r="F140" s="269"/>
      <c r="G140" s="184"/>
      <c r="H140" s="184"/>
      <c r="I140" s="184"/>
      <c r="J140" s="184"/>
      <c r="K140" s="184"/>
      <c r="L140" s="184"/>
      <c r="M140" s="284"/>
      <c r="N140" s="287"/>
      <c r="O140" s="286"/>
      <c r="P140" s="286"/>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286"/>
      <c r="AM140" s="286"/>
      <c r="AN140" s="286"/>
      <c r="AO140" s="286"/>
      <c r="AP140" s="286"/>
      <c r="AQ140" s="286"/>
      <c r="AR140" s="286"/>
      <c r="AS140" s="286"/>
      <c r="AT140" s="286"/>
      <c r="AU140" s="286"/>
      <c r="AV140" s="286"/>
      <c r="AW140" s="286"/>
      <c r="AX140" s="286"/>
      <c r="AY140" s="286"/>
      <c r="AZ140" s="286"/>
      <c r="BA140" s="286"/>
      <c r="BB140" s="291"/>
      <c r="BC140" s="292"/>
      <c r="BD140" s="292"/>
      <c r="BE140" s="292"/>
      <c r="BF140" s="292"/>
      <c r="BG140" s="292"/>
      <c r="BH140" s="292"/>
      <c r="BI140" s="292"/>
      <c r="BJ140" s="292"/>
      <c r="BK140" s="292"/>
      <c r="BL140" s="292"/>
      <c r="BM140" s="286"/>
      <c r="BN140" s="287"/>
      <c r="BO140" s="286"/>
      <c r="BP140" s="262"/>
      <c r="BQ140" s="262"/>
      <c r="BR140" s="262"/>
      <c r="BS140" s="314"/>
      <c r="BT140" s="186"/>
      <c r="BU140" s="186"/>
      <c r="BV140" s="186"/>
      <c r="BW140" s="186"/>
      <c r="BX140" s="186"/>
      <c r="BY140" s="186"/>
      <c r="BZ140" s="184"/>
      <c r="CA140" s="184"/>
      <c r="CB140" s="184"/>
      <c r="CC140" s="184"/>
      <c r="CD140" s="184"/>
      <c r="CE140" s="184"/>
      <c r="CF140" s="184"/>
      <c r="CG140" s="184"/>
      <c r="CH140" s="184"/>
      <c r="CI140" s="184"/>
      <c r="CJ140" s="184"/>
      <c r="CK140" s="184"/>
      <c r="CL140" s="184"/>
      <c r="CM140" s="184"/>
      <c r="CN140" s="184"/>
      <c r="CO140" s="184"/>
      <c r="CP140" s="184"/>
      <c r="CQ140" s="184"/>
      <c r="CR140" s="184"/>
      <c r="CS140" s="184"/>
      <c r="CT140" s="184"/>
      <c r="CU140" s="184"/>
      <c r="CV140" s="184"/>
      <c r="CW140" s="184"/>
      <c r="CX140" s="184"/>
      <c r="CY140" s="184"/>
      <c r="CZ140" s="184"/>
      <c r="DA140" s="184"/>
      <c r="DB140" s="184"/>
      <c r="DC140" s="184"/>
      <c r="DD140" s="184"/>
      <c r="DE140" s="184"/>
      <c r="DF140" s="184"/>
      <c r="DG140" s="184"/>
      <c r="DH140" s="184"/>
      <c r="DI140" s="184"/>
      <c r="DJ140" s="184"/>
      <c r="DK140" s="184"/>
      <c r="DL140" s="184"/>
      <c r="DM140" s="184"/>
      <c r="DN140" s="184"/>
      <c r="DO140" s="184"/>
      <c r="DP140" s="184"/>
      <c r="DQ140" s="184"/>
      <c r="DR140" s="184"/>
      <c r="DS140" s="184"/>
      <c r="DT140" s="184"/>
      <c r="DU140" s="184"/>
      <c r="DV140" s="184"/>
      <c r="DW140" s="184"/>
      <c r="DX140" s="184"/>
      <c r="DY140" s="184"/>
      <c r="DZ140" s="184"/>
      <c r="EA140" s="224"/>
    </row>
    <row r="141" spans="1:131" ht="6.95" hidden="1" customHeight="1" x14ac:dyDescent="0.2">
      <c r="A141" s="184"/>
      <c r="B141" s="186"/>
      <c r="C141" s="186"/>
      <c r="D141" s="186"/>
      <c r="E141" s="186"/>
      <c r="F141" s="269"/>
      <c r="G141" s="184"/>
      <c r="H141" s="184"/>
      <c r="I141" s="184"/>
      <c r="J141" s="184"/>
      <c r="K141" s="184"/>
      <c r="L141" s="184"/>
      <c r="M141" s="184"/>
      <c r="N141" s="262"/>
      <c r="O141" s="262"/>
      <c r="P141" s="262"/>
      <c r="Q141" s="262"/>
      <c r="R141" s="262"/>
      <c r="S141" s="262"/>
      <c r="T141" s="262"/>
      <c r="U141" s="262"/>
      <c r="V141" s="262"/>
      <c r="W141" s="262"/>
      <c r="X141" s="262"/>
      <c r="Y141" s="262"/>
      <c r="Z141" s="262"/>
      <c r="AA141" s="262"/>
      <c r="AB141" s="262"/>
      <c r="AC141" s="262"/>
      <c r="AD141" s="262"/>
      <c r="AE141" s="262"/>
      <c r="AF141" s="262"/>
      <c r="AG141" s="262"/>
      <c r="AH141" s="262"/>
      <c r="AI141" s="262"/>
      <c r="AJ141" s="262"/>
      <c r="AK141" s="262"/>
      <c r="AL141" s="262"/>
      <c r="AM141" s="262"/>
      <c r="AN141" s="262"/>
      <c r="AO141" s="262"/>
      <c r="AP141" s="262"/>
      <c r="AQ141" s="262"/>
      <c r="AR141" s="262"/>
      <c r="AS141" s="262"/>
      <c r="AT141" s="262"/>
      <c r="AU141" s="262"/>
      <c r="AV141" s="262"/>
      <c r="AW141" s="262"/>
      <c r="AX141" s="262"/>
      <c r="AY141" s="262"/>
      <c r="AZ141" s="262"/>
      <c r="BA141" s="262"/>
      <c r="BB141" s="262"/>
      <c r="BC141" s="262"/>
      <c r="BD141" s="262"/>
      <c r="BE141" s="262"/>
      <c r="BF141" s="262"/>
      <c r="BG141" s="262"/>
      <c r="BH141" s="262"/>
      <c r="BI141" s="262"/>
      <c r="BJ141" s="262"/>
      <c r="BK141" s="262"/>
      <c r="BL141" s="262"/>
      <c r="BM141" s="262"/>
      <c r="BN141" s="262"/>
      <c r="BO141" s="262"/>
      <c r="BP141" s="262"/>
      <c r="BQ141" s="262"/>
      <c r="BR141" s="262"/>
      <c r="BS141" s="314"/>
      <c r="BT141" s="186"/>
      <c r="BU141" s="186"/>
      <c r="BV141" s="186"/>
      <c r="BW141" s="186"/>
      <c r="BX141" s="186"/>
      <c r="BY141" s="186"/>
      <c r="BZ141" s="184"/>
      <c r="CA141" s="184"/>
      <c r="CB141" s="184"/>
      <c r="CC141" s="184"/>
      <c r="CD141" s="184"/>
      <c r="CE141" s="184"/>
      <c r="CF141" s="184"/>
      <c r="CG141" s="184"/>
      <c r="CH141" s="184"/>
      <c r="CI141" s="184"/>
      <c r="CJ141" s="184"/>
      <c r="CK141" s="184"/>
      <c r="CL141" s="184"/>
      <c r="CM141" s="184"/>
      <c r="CN141" s="184"/>
      <c r="CO141" s="184"/>
      <c r="CP141" s="184"/>
      <c r="CQ141" s="184"/>
      <c r="CR141" s="184"/>
      <c r="CS141" s="184"/>
      <c r="CT141" s="184"/>
      <c r="CU141" s="184"/>
      <c r="CV141" s="184"/>
      <c r="CW141" s="184"/>
      <c r="CX141" s="184"/>
      <c r="CY141" s="184"/>
      <c r="CZ141" s="184"/>
      <c r="DA141" s="184"/>
      <c r="DB141" s="184"/>
      <c r="DC141" s="184"/>
      <c r="DD141" s="184"/>
      <c r="DE141" s="184"/>
      <c r="DF141" s="184"/>
      <c r="DG141" s="184"/>
      <c r="DH141" s="184"/>
      <c r="DI141" s="184"/>
      <c r="DJ141" s="184"/>
      <c r="DK141" s="184"/>
      <c r="DL141" s="184"/>
      <c r="DM141" s="184"/>
      <c r="DN141" s="184"/>
      <c r="DO141" s="184"/>
      <c r="DP141" s="184"/>
      <c r="DQ141" s="184"/>
      <c r="DR141" s="184"/>
      <c r="DS141" s="184"/>
      <c r="DT141" s="184"/>
      <c r="DU141" s="184"/>
      <c r="DV141" s="184"/>
      <c r="DW141" s="184"/>
      <c r="DX141" s="184"/>
      <c r="DY141" s="184"/>
      <c r="DZ141" s="184"/>
      <c r="EA141" s="224"/>
    </row>
    <row r="142" spans="1:131" ht="3.2" hidden="1" customHeight="1" x14ac:dyDescent="0.2">
      <c r="A142" s="184"/>
      <c r="B142" s="186"/>
      <c r="C142" s="186"/>
      <c r="D142" s="186"/>
      <c r="E142" s="186"/>
      <c r="F142" s="271"/>
      <c r="G142" s="186"/>
      <c r="H142" s="186"/>
      <c r="I142" s="184"/>
      <c r="J142" s="184"/>
      <c r="K142" s="184"/>
      <c r="L142" s="184"/>
      <c r="M142" s="184"/>
      <c r="N142" s="257"/>
      <c r="O142" s="257"/>
      <c r="P142" s="257"/>
      <c r="Q142" s="257"/>
      <c r="R142" s="257"/>
      <c r="S142" s="257"/>
      <c r="T142" s="257"/>
      <c r="U142" s="257"/>
      <c r="V142" s="257"/>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59"/>
      <c r="AZ142" s="259"/>
      <c r="BA142" s="259"/>
      <c r="BB142" s="259"/>
      <c r="BC142" s="259"/>
      <c r="BD142" s="259"/>
      <c r="BE142" s="259"/>
      <c r="BF142" s="259"/>
      <c r="BG142" s="259"/>
      <c r="BH142" s="259"/>
      <c r="BI142" s="259"/>
      <c r="BJ142" s="259"/>
      <c r="BK142" s="259"/>
      <c r="BL142" s="259"/>
      <c r="BM142" s="259"/>
      <c r="BN142" s="259"/>
      <c r="BO142" s="259"/>
      <c r="BP142" s="259"/>
      <c r="BQ142" s="259"/>
      <c r="BR142" s="259"/>
      <c r="BS142" s="273"/>
      <c r="BT142" s="186"/>
      <c r="BU142" s="186"/>
      <c r="BV142" s="186"/>
      <c r="BW142" s="186"/>
      <c r="BX142" s="186"/>
      <c r="BY142" s="186"/>
      <c r="BZ142" s="184"/>
      <c r="CA142" s="184"/>
      <c r="CB142" s="184"/>
      <c r="CC142" s="184"/>
      <c r="CD142" s="184"/>
      <c r="CE142" s="184"/>
      <c r="CF142" s="184"/>
      <c r="CG142" s="184"/>
      <c r="CH142" s="184"/>
      <c r="CI142" s="184"/>
      <c r="CJ142" s="184"/>
      <c r="CK142" s="184"/>
      <c r="CL142" s="184"/>
      <c r="CM142" s="184"/>
      <c r="CN142" s="184"/>
      <c r="CO142" s="184"/>
      <c r="CP142" s="184"/>
      <c r="CQ142" s="184"/>
      <c r="CR142" s="184"/>
      <c r="CS142" s="184"/>
      <c r="CT142" s="184"/>
      <c r="CU142" s="184"/>
      <c r="CV142" s="184"/>
      <c r="CW142" s="184"/>
      <c r="CX142" s="184"/>
      <c r="CY142" s="184"/>
      <c r="CZ142" s="184"/>
      <c r="DA142" s="184"/>
      <c r="DB142" s="184"/>
      <c r="DC142" s="184"/>
      <c r="DD142" s="184"/>
      <c r="DE142" s="184"/>
      <c r="DF142" s="184"/>
      <c r="DG142" s="184"/>
      <c r="DH142" s="184"/>
      <c r="DI142" s="184"/>
      <c r="DJ142" s="184"/>
      <c r="DK142" s="184"/>
      <c r="DL142" s="184"/>
      <c r="DM142" s="184"/>
      <c r="DN142" s="184"/>
      <c r="DO142" s="184"/>
      <c r="DP142" s="184"/>
      <c r="DQ142" s="184"/>
      <c r="DR142" s="184"/>
      <c r="DS142" s="184"/>
      <c r="DT142" s="184"/>
      <c r="DU142" s="184"/>
      <c r="DV142" s="184"/>
      <c r="DW142" s="184"/>
      <c r="DX142" s="184"/>
      <c r="DY142" s="184"/>
      <c r="DZ142" s="184"/>
      <c r="EA142" s="224"/>
    </row>
    <row r="143" spans="1:131" ht="6.95" hidden="1" customHeight="1" x14ac:dyDescent="0.2">
      <c r="A143" s="184"/>
      <c r="B143" s="186"/>
      <c r="C143" s="186"/>
      <c r="D143" s="186"/>
      <c r="E143" s="186"/>
      <c r="F143" s="275"/>
      <c r="G143" s="184"/>
      <c r="H143" s="184"/>
      <c r="I143" s="184"/>
      <c r="J143" s="184"/>
      <c r="K143" s="184"/>
      <c r="L143" s="262"/>
      <c r="M143" s="189"/>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84"/>
      <c r="AP143" s="184"/>
      <c r="AQ143" s="184"/>
      <c r="AR143" s="184"/>
      <c r="AS143" s="184"/>
      <c r="AT143" s="184"/>
      <c r="AU143" s="184"/>
      <c r="AV143" s="184"/>
      <c r="AW143" s="184"/>
      <c r="AX143" s="184"/>
      <c r="AY143" s="184"/>
      <c r="AZ143" s="184"/>
      <c r="BA143" s="184"/>
      <c r="BB143" s="184"/>
      <c r="BC143" s="184"/>
      <c r="BD143" s="184"/>
      <c r="BE143" s="184"/>
      <c r="BF143" s="184"/>
      <c r="BG143" s="184"/>
      <c r="BH143" s="184"/>
      <c r="BI143" s="184"/>
      <c r="BJ143" s="184"/>
      <c r="BK143" s="184"/>
      <c r="BL143" s="184"/>
      <c r="BM143" s="184"/>
      <c r="BN143" s="184"/>
      <c r="BO143" s="184"/>
      <c r="BP143" s="184"/>
      <c r="BQ143" s="184"/>
      <c r="BR143" s="184"/>
      <c r="BS143" s="272"/>
      <c r="BT143" s="186"/>
      <c r="BU143" s="186"/>
      <c r="BV143" s="186"/>
      <c r="BW143" s="186"/>
      <c r="BX143" s="186"/>
      <c r="BY143" s="186"/>
      <c r="BZ143" s="184"/>
      <c r="CA143" s="184"/>
      <c r="CB143" s="184"/>
      <c r="CC143" s="184"/>
      <c r="CD143" s="184"/>
      <c r="CE143" s="184"/>
      <c r="CF143" s="184"/>
      <c r="CG143" s="184"/>
      <c r="CH143" s="184"/>
      <c r="CI143" s="184"/>
      <c r="CJ143" s="184"/>
      <c r="CK143" s="184"/>
      <c r="CL143" s="184"/>
      <c r="CM143" s="184"/>
      <c r="CN143" s="184"/>
      <c r="CO143" s="184"/>
      <c r="CP143" s="184"/>
      <c r="CQ143" s="184"/>
      <c r="CR143" s="184"/>
      <c r="CS143" s="184"/>
      <c r="CT143" s="184"/>
      <c r="CU143" s="184"/>
      <c r="CV143" s="184"/>
      <c r="CW143" s="184"/>
      <c r="CX143" s="184"/>
      <c r="CY143" s="184"/>
      <c r="CZ143" s="184"/>
      <c r="DA143" s="184"/>
      <c r="DB143" s="184"/>
      <c r="DC143" s="184"/>
      <c r="DD143" s="184"/>
      <c r="DE143" s="184"/>
      <c r="DF143" s="184"/>
      <c r="DG143" s="184"/>
      <c r="DH143" s="184"/>
      <c r="DI143" s="184"/>
      <c r="DJ143" s="184"/>
      <c r="DK143" s="184"/>
      <c r="DL143" s="184"/>
      <c r="DM143" s="184"/>
      <c r="DN143" s="184"/>
      <c r="DO143" s="184"/>
      <c r="DP143" s="184"/>
      <c r="DQ143" s="184"/>
      <c r="DR143" s="184"/>
      <c r="DS143" s="184"/>
      <c r="DT143" s="184"/>
      <c r="DU143" s="184"/>
      <c r="DV143" s="184"/>
      <c r="DW143" s="184"/>
      <c r="DX143" s="184"/>
      <c r="DY143" s="184"/>
      <c r="DZ143" s="184"/>
      <c r="EA143" s="224"/>
    </row>
    <row r="144" spans="1:131" ht="12.2" hidden="1" customHeight="1" x14ac:dyDescent="0.2">
      <c r="A144" s="184"/>
      <c r="B144" s="186"/>
      <c r="C144" s="186"/>
      <c r="D144" s="186"/>
      <c r="E144" s="186"/>
      <c r="F144" s="275"/>
      <c r="G144" s="184"/>
      <c r="H144" s="651" t="e">
        <f>IF(AND(Daten!E528=1,Daten!E524=1),"x","")</f>
        <v>#N/A</v>
      </c>
      <c r="I144" s="652"/>
      <c r="J144" s="653"/>
      <c r="K144" s="254"/>
      <c r="L144" s="254"/>
      <c r="M144" s="189"/>
      <c r="N144" s="255" t="s">
        <v>405</v>
      </c>
      <c r="O144" s="255"/>
      <c r="P144" s="255"/>
      <c r="Q144" s="255"/>
      <c r="R144" s="255"/>
      <c r="S144" s="255"/>
      <c r="T144" s="255"/>
      <c r="U144" s="255"/>
      <c r="V144" s="255"/>
      <c r="W144" s="255"/>
      <c r="X144" s="255"/>
      <c r="Y144" s="255"/>
      <c r="Z144" s="255"/>
      <c r="AA144" s="255"/>
      <c r="AB144" s="255"/>
      <c r="AC144" s="255"/>
      <c r="AD144" s="255"/>
      <c r="AE144" s="255"/>
      <c r="AF144" s="255"/>
      <c r="AG144" s="255"/>
      <c r="AH144" s="255"/>
      <c r="AI144" s="255"/>
      <c r="AJ144" s="255"/>
      <c r="AK144" s="255"/>
      <c r="AL144" s="255"/>
      <c r="AM144" s="255"/>
      <c r="AN144" s="255"/>
      <c r="AO144" s="255"/>
      <c r="AP144" s="255"/>
      <c r="AQ144" s="255"/>
      <c r="AR144" s="255"/>
      <c r="AS144" s="255"/>
      <c r="AT144" s="255"/>
      <c r="AU144" s="255"/>
      <c r="AV144" s="255"/>
      <c r="AW144" s="255"/>
      <c r="AX144" s="255"/>
      <c r="AY144" s="255"/>
      <c r="AZ144" s="255"/>
      <c r="BA144" s="255"/>
      <c r="BB144" s="255"/>
      <c r="BC144" s="255"/>
      <c r="BD144" s="255"/>
      <c r="BE144" s="255"/>
      <c r="BF144" s="255"/>
      <c r="BG144" s="255"/>
      <c r="BH144" s="255"/>
      <c r="BI144" s="255"/>
      <c r="BJ144" s="255"/>
      <c r="BK144" s="255"/>
      <c r="BL144" s="255"/>
      <c r="BM144" s="255"/>
      <c r="BN144" s="255"/>
      <c r="BO144" s="255"/>
      <c r="BP144" s="255"/>
      <c r="BQ144" s="255"/>
      <c r="BR144" s="255"/>
      <c r="BS144" s="270"/>
      <c r="BT144" s="186"/>
      <c r="BU144" s="186"/>
      <c r="BV144" s="186"/>
      <c r="BW144" s="186"/>
      <c r="BX144" s="186"/>
      <c r="BY144" s="186"/>
      <c r="BZ144" s="184"/>
      <c r="CA144" s="184"/>
      <c r="CB144" s="184"/>
      <c r="CC144" s="184"/>
      <c r="CD144" s="184"/>
      <c r="CE144" s="184"/>
      <c r="CF144" s="184"/>
      <c r="CG144" s="184"/>
      <c r="CH144" s="184"/>
      <c r="CI144" s="184"/>
      <c r="CJ144" s="184"/>
      <c r="CK144" s="184"/>
      <c r="CL144" s="184"/>
      <c r="CM144" s="184"/>
      <c r="CN144" s="184"/>
      <c r="CO144" s="184"/>
      <c r="CP144" s="184"/>
      <c r="CQ144" s="184"/>
      <c r="CR144" s="184"/>
      <c r="CS144" s="184"/>
      <c r="CT144" s="184"/>
      <c r="CU144" s="184"/>
      <c r="CV144" s="184"/>
      <c r="CW144" s="184"/>
      <c r="CX144" s="184"/>
      <c r="CY144" s="184"/>
      <c r="CZ144" s="184"/>
      <c r="DA144" s="184"/>
      <c r="DB144" s="184"/>
      <c r="DC144" s="184"/>
      <c r="DD144" s="184"/>
      <c r="DE144" s="184"/>
      <c r="DF144" s="184"/>
      <c r="DG144" s="184"/>
      <c r="DH144" s="184"/>
      <c r="DI144" s="184"/>
      <c r="DJ144" s="184"/>
      <c r="DK144" s="184"/>
      <c r="DL144" s="184"/>
      <c r="DM144" s="184"/>
      <c r="DN144" s="184"/>
      <c r="DO144" s="184"/>
      <c r="DP144" s="184"/>
      <c r="DQ144" s="184"/>
      <c r="DR144" s="184"/>
      <c r="DS144" s="184"/>
      <c r="DT144" s="184"/>
      <c r="DU144" s="184"/>
      <c r="DV144" s="184"/>
      <c r="DW144" s="184"/>
      <c r="DX144" s="184"/>
      <c r="DY144" s="184"/>
      <c r="DZ144" s="184"/>
      <c r="EA144" s="224"/>
    </row>
    <row r="145" spans="1:131" ht="12.2" hidden="1" customHeight="1" x14ac:dyDescent="0.2">
      <c r="A145" s="184"/>
      <c r="B145" s="186"/>
      <c r="C145" s="186"/>
      <c r="D145" s="186"/>
      <c r="E145" s="186"/>
      <c r="F145" s="269"/>
      <c r="G145" s="184"/>
      <c r="H145" s="184"/>
      <c r="I145" s="184"/>
      <c r="J145" s="184"/>
      <c r="K145" s="184"/>
      <c r="L145" s="184"/>
      <c r="M145" s="184"/>
      <c r="N145" s="283" t="s">
        <v>407</v>
      </c>
      <c r="O145" s="255"/>
      <c r="P145" s="255"/>
      <c r="Q145" s="255"/>
      <c r="R145" s="255"/>
      <c r="S145" s="255"/>
      <c r="T145" s="255"/>
      <c r="U145" s="255"/>
      <c r="V145" s="255"/>
      <c r="W145" s="255"/>
      <c r="X145" s="255"/>
      <c r="Y145" s="255"/>
      <c r="Z145" s="255"/>
      <c r="AA145" s="255"/>
      <c r="AB145" s="255"/>
      <c r="AC145" s="255"/>
      <c r="AD145" s="255"/>
      <c r="AE145" s="255"/>
      <c r="AF145" s="255"/>
      <c r="AG145" s="255"/>
      <c r="AH145" s="255"/>
      <c r="AI145" s="255"/>
      <c r="AJ145" s="255"/>
      <c r="AK145" s="255"/>
      <c r="AL145" s="255"/>
      <c r="AM145" s="255"/>
      <c r="AN145" s="255"/>
      <c r="AO145" s="255"/>
      <c r="AP145" s="255"/>
      <c r="AQ145" s="255"/>
      <c r="AR145" s="255"/>
      <c r="AS145" s="255"/>
      <c r="AT145" s="255"/>
      <c r="AU145" s="255"/>
      <c r="AV145" s="255"/>
      <c r="AW145" s="255"/>
      <c r="AX145" s="255"/>
      <c r="AY145" s="255"/>
      <c r="AZ145" s="255"/>
      <c r="BA145" s="255"/>
      <c r="BB145" s="255"/>
      <c r="BC145" s="255"/>
      <c r="BD145" s="255"/>
      <c r="BE145" s="255"/>
      <c r="BF145" s="255"/>
      <c r="BG145" s="255"/>
      <c r="BH145" s="255"/>
      <c r="BI145" s="255"/>
      <c r="BJ145" s="255"/>
      <c r="BK145" s="255"/>
      <c r="BL145" s="255"/>
      <c r="BM145" s="255"/>
      <c r="BN145" s="255"/>
      <c r="BO145" s="255"/>
      <c r="BP145" s="255"/>
      <c r="BQ145" s="255"/>
      <c r="BR145" s="255"/>
      <c r="BS145" s="270"/>
      <c r="BT145" s="186"/>
      <c r="BU145" s="186"/>
      <c r="BV145" s="186"/>
      <c r="BW145" s="186"/>
      <c r="BX145" s="186"/>
      <c r="BY145" s="186"/>
      <c r="BZ145" s="184"/>
      <c r="CA145" s="184"/>
      <c r="CB145" s="184"/>
      <c r="CC145" s="184"/>
      <c r="CD145" s="184"/>
      <c r="CE145" s="184"/>
      <c r="CF145" s="184"/>
      <c r="CG145" s="184"/>
      <c r="CH145" s="184"/>
      <c r="CI145" s="184"/>
      <c r="CJ145" s="184"/>
      <c r="CK145" s="184"/>
      <c r="CL145" s="184"/>
      <c r="CM145" s="184"/>
      <c r="CN145" s="184"/>
      <c r="CO145" s="184"/>
      <c r="CP145" s="184"/>
      <c r="CQ145" s="184"/>
      <c r="CR145" s="184"/>
      <c r="CS145" s="184"/>
      <c r="CT145" s="184"/>
      <c r="CU145" s="184"/>
      <c r="CV145" s="184"/>
      <c r="CW145" s="184"/>
      <c r="CX145" s="184"/>
      <c r="CY145" s="184"/>
      <c r="CZ145" s="184"/>
      <c r="DA145" s="184"/>
      <c r="DB145" s="184"/>
      <c r="DC145" s="184"/>
      <c r="DD145" s="184"/>
      <c r="DE145" s="184"/>
      <c r="DF145" s="184"/>
      <c r="DG145" s="184"/>
      <c r="DH145" s="184"/>
      <c r="DI145" s="184"/>
      <c r="DJ145" s="184"/>
      <c r="DK145" s="184"/>
      <c r="DL145" s="184"/>
      <c r="DM145" s="184"/>
      <c r="DN145" s="184"/>
      <c r="DO145" s="184"/>
      <c r="DP145" s="184"/>
      <c r="DQ145" s="184"/>
      <c r="DR145" s="184"/>
      <c r="DS145" s="184"/>
      <c r="DT145" s="184"/>
      <c r="DU145" s="184"/>
      <c r="DV145" s="184"/>
      <c r="DW145" s="184"/>
      <c r="DX145" s="184"/>
      <c r="DY145" s="184"/>
      <c r="DZ145" s="184"/>
      <c r="EA145" s="224"/>
    </row>
    <row r="146" spans="1:131" ht="10.15" hidden="1" customHeight="1" x14ac:dyDescent="0.2">
      <c r="A146" s="184"/>
      <c r="B146" s="186"/>
      <c r="C146" s="186"/>
      <c r="D146" s="186"/>
      <c r="E146" s="186"/>
      <c r="F146" s="269"/>
      <c r="G146" s="184"/>
      <c r="H146" s="184"/>
      <c r="I146" s="184"/>
      <c r="J146" s="184"/>
      <c r="K146" s="184"/>
      <c r="L146" s="184"/>
      <c r="M146" s="184"/>
      <c r="N146" s="262"/>
      <c r="O146" s="262"/>
      <c r="P146" s="262"/>
      <c r="Q146" s="262"/>
      <c r="R146" s="262"/>
      <c r="S146" s="262"/>
      <c r="T146" s="262"/>
      <c r="U146" s="262"/>
      <c r="V146" s="262"/>
      <c r="W146" s="262"/>
      <c r="X146" s="262"/>
      <c r="Y146" s="262"/>
      <c r="Z146" s="262"/>
      <c r="AA146" s="262"/>
      <c r="AB146" s="262"/>
      <c r="AC146" s="262"/>
      <c r="AD146" s="262"/>
      <c r="AE146" s="262"/>
      <c r="AF146" s="262"/>
      <c r="AG146" s="262"/>
      <c r="AH146" s="262"/>
      <c r="AI146" s="262"/>
      <c r="AJ146" s="262"/>
      <c r="AK146" s="262"/>
      <c r="AL146" s="262"/>
      <c r="AM146" s="262"/>
      <c r="AN146" s="262"/>
      <c r="AO146" s="262"/>
      <c r="AP146" s="262"/>
      <c r="AQ146" s="262"/>
      <c r="AR146" s="262"/>
      <c r="AS146" s="262"/>
      <c r="AT146" s="262"/>
      <c r="AU146" s="262"/>
      <c r="AV146" s="262"/>
      <c r="AW146" s="262"/>
      <c r="AX146" s="262"/>
      <c r="AY146" s="262"/>
      <c r="AZ146" s="262"/>
      <c r="BA146" s="262"/>
      <c r="BB146" s="262"/>
      <c r="BC146" s="262"/>
      <c r="BD146" s="262"/>
      <c r="BE146" s="262"/>
      <c r="BF146" s="262"/>
      <c r="BG146" s="262"/>
      <c r="BH146" s="262"/>
      <c r="BI146" s="262"/>
      <c r="BJ146" s="262"/>
      <c r="BK146" s="262"/>
      <c r="BL146" s="262"/>
      <c r="BM146" s="262"/>
      <c r="BN146" s="262"/>
      <c r="BO146" s="262"/>
      <c r="BP146" s="262"/>
      <c r="BQ146" s="262"/>
      <c r="BR146" s="262"/>
      <c r="BS146" s="314"/>
      <c r="BT146" s="186"/>
      <c r="BU146" s="186"/>
      <c r="BV146" s="186"/>
      <c r="BW146" s="186"/>
      <c r="BX146" s="186"/>
      <c r="BY146" s="186"/>
      <c r="BZ146" s="184"/>
      <c r="CA146" s="184"/>
      <c r="CB146" s="184"/>
      <c r="CC146" s="184"/>
      <c r="CD146" s="184"/>
      <c r="CE146" s="184"/>
      <c r="CF146" s="184"/>
      <c r="CG146" s="184"/>
      <c r="CH146" s="184"/>
      <c r="CI146" s="184"/>
      <c r="CJ146" s="184"/>
      <c r="CK146" s="184"/>
      <c r="CL146" s="184"/>
      <c r="CM146" s="184"/>
      <c r="CN146" s="184"/>
      <c r="CO146" s="184"/>
      <c r="CP146" s="184"/>
      <c r="CQ146" s="184"/>
      <c r="CR146" s="184"/>
      <c r="CS146" s="184"/>
      <c r="CT146" s="184"/>
      <c r="CU146" s="184"/>
      <c r="CV146" s="184"/>
      <c r="CW146" s="184"/>
      <c r="CX146" s="184"/>
      <c r="CY146" s="184"/>
      <c r="CZ146" s="184"/>
      <c r="DA146" s="184"/>
      <c r="DB146" s="184"/>
      <c r="DC146" s="184"/>
      <c r="DD146" s="184"/>
      <c r="DE146" s="184"/>
      <c r="DF146" s="184"/>
      <c r="DG146" s="184"/>
      <c r="DH146" s="184"/>
      <c r="DI146" s="184"/>
      <c r="DJ146" s="184"/>
      <c r="DK146" s="184"/>
      <c r="DL146" s="184"/>
      <c r="DM146" s="184"/>
      <c r="DN146" s="184"/>
      <c r="DO146" s="184"/>
      <c r="DP146" s="184"/>
      <c r="DQ146" s="184"/>
      <c r="DR146" s="184"/>
      <c r="DS146" s="184"/>
      <c r="DT146" s="184"/>
      <c r="DU146" s="184"/>
      <c r="DV146" s="184"/>
      <c r="DW146" s="184"/>
      <c r="DX146" s="184"/>
      <c r="DY146" s="184"/>
      <c r="DZ146" s="184"/>
      <c r="EA146" s="224"/>
    </row>
    <row r="147" spans="1:131" ht="12.2" hidden="1" customHeight="1" x14ac:dyDescent="0.2">
      <c r="A147" s="184"/>
      <c r="B147" s="186"/>
      <c r="C147" s="186"/>
      <c r="D147" s="186"/>
      <c r="E147" s="186"/>
      <c r="F147" s="269"/>
      <c r="G147" s="184"/>
      <c r="H147" s="184"/>
      <c r="I147" s="184"/>
      <c r="J147" s="184"/>
      <c r="K147" s="184"/>
      <c r="L147" s="184"/>
      <c r="M147" s="284"/>
      <c r="N147" s="285" t="s">
        <v>894</v>
      </c>
      <c r="O147" s="286"/>
      <c r="P147" s="286"/>
      <c r="Q147" s="286"/>
      <c r="R147" s="286"/>
      <c r="S147" s="286"/>
      <c r="T147" s="286"/>
      <c r="U147" s="286"/>
      <c r="V147" s="286"/>
      <c r="W147" s="286"/>
      <c r="X147" s="286"/>
      <c r="Y147" s="286"/>
      <c r="Z147" s="286"/>
      <c r="AA147" s="286"/>
      <c r="AB147" s="286"/>
      <c r="AC147" s="286"/>
      <c r="AD147" s="286"/>
      <c r="AE147" s="286"/>
      <c r="AF147" s="286"/>
      <c r="AG147" s="286"/>
      <c r="AH147" s="286"/>
      <c r="AI147" s="286"/>
      <c r="AJ147" s="286"/>
      <c r="AK147" s="286"/>
      <c r="AL147" s="286"/>
      <c r="AM147" s="286"/>
      <c r="AN147" s="286"/>
      <c r="AO147" s="286"/>
      <c r="AP147" s="286"/>
      <c r="AQ147" s="286"/>
      <c r="AR147" s="286"/>
      <c r="AS147" s="286"/>
      <c r="AT147" s="286"/>
      <c r="AU147" s="286"/>
      <c r="AV147" s="286"/>
      <c r="AW147" s="286"/>
      <c r="AX147" s="286"/>
      <c r="AY147" s="286"/>
      <c r="AZ147" s="286"/>
      <c r="BA147" s="286"/>
      <c r="BB147" s="286"/>
      <c r="BC147" s="286"/>
      <c r="BD147" s="286"/>
      <c r="BE147" s="286"/>
      <c r="BF147" s="286"/>
      <c r="BG147" s="286"/>
      <c r="BH147" s="286"/>
      <c r="BI147" s="286"/>
      <c r="BJ147" s="286"/>
      <c r="BK147" s="286"/>
      <c r="BL147" s="286"/>
      <c r="BM147" s="286"/>
      <c r="BN147" s="286"/>
      <c r="BO147" s="286"/>
      <c r="BP147" s="262"/>
      <c r="BQ147" s="262"/>
      <c r="BR147" s="262"/>
      <c r="BS147" s="314"/>
      <c r="BT147" s="186"/>
      <c r="BU147" s="186"/>
      <c r="BV147" s="186"/>
      <c r="BW147" s="186"/>
      <c r="BX147" s="186"/>
      <c r="BY147" s="186"/>
      <c r="BZ147" s="184"/>
      <c r="CA147" s="184"/>
      <c r="CB147" s="184"/>
      <c r="CC147" s="184"/>
      <c r="CD147" s="184"/>
      <c r="CE147" s="184"/>
      <c r="CF147" s="184"/>
      <c r="CG147" s="184"/>
      <c r="CH147" s="184"/>
      <c r="CI147" s="184"/>
      <c r="CJ147" s="184"/>
      <c r="CK147" s="184"/>
      <c r="CL147" s="184"/>
      <c r="CM147" s="184"/>
      <c r="CN147" s="184"/>
      <c r="CO147" s="184"/>
      <c r="CP147" s="184"/>
      <c r="CQ147" s="184"/>
      <c r="CR147" s="184"/>
      <c r="CS147" s="184"/>
      <c r="CT147" s="184"/>
      <c r="CU147" s="184"/>
      <c r="CV147" s="184"/>
      <c r="CW147" s="184"/>
      <c r="CX147" s="184"/>
      <c r="CY147" s="184"/>
      <c r="CZ147" s="184"/>
      <c r="DA147" s="184"/>
      <c r="DB147" s="184"/>
      <c r="DC147" s="184"/>
      <c r="DD147" s="184"/>
      <c r="DE147" s="184"/>
      <c r="DF147" s="184"/>
      <c r="DG147" s="184"/>
      <c r="DH147" s="184"/>
      <c r="DI147" s="184"/>
      <c r="DJ147" s="184"/>
      <c r="DK147" s="184"/>
      <c r="DL147" s="184"/>
      <c r="DM147" s="184"/>
      <c r="DN147" s="184"/>
      <c r="DO147" s="184"/>
      <c r="DP147" s="184"/>
      <c r="DQ147" s="184"/>
      <c r="DR147" s="184"/>
      <c r="DS147" s="184"/>
      <c r="DT147" s="184"/>
      <c r="DU147" s="184"/>
      <c r="DV147" s="184"/>
      <c r="DW147" s="184"/>
      <c r="DX147" s="184"/>
      <c r="DY147" s="184"/>
      <c r="DZ147" s="184"/>
      <c r="EA147" s="224"/>
    </row>
    <row r="148" spans="1:131" ht="5.0999999999999996" hidden="1" customHeight="1" x14ac:dyDescent="0.2">
      <c r="A148" s="184"/>
      <c r="B148" s="186"/>
      <c r="C148" s="186"/>
      <c r="D148" s="186"/>
      <c r="E148" s="186"/>
      <c r="F148" s="269"/>
      <c r="G148" s="184"/>
      <c r="H148" s="184"/>
      <c r="I148" s="184"/>
      <c r="J148" s="184"/>
      <c r="K148" s="184"/>
      <c r="L148" s="184"/>
      <c r="M148" s="284"/>
      <c r="N148" s="286"/>
      <c r="O148" s="286"/>
      <c r="P148" s="286"/>
      <c r="Q148" s="286"/>
      <c r="R148" s="286"/>
      <c r="S148" s="286"/>
      <c r="T148" s="286"/>
      <c r="U148" s="286"/>
      <c r="V148" s="286"/>
      <c r="W148" s="286"/>
      <c r="X148" s="286"/>
      <c r="Y148" s="286"/>
      <c r="Z148" s="286"/>
      <c r="AA148" s="286"/>
      <c r="AB148" s="286"/>
      <c r="AC148" s="286"/>
      <c r="AD148" s="286"/>
      <c r="AE148" s="286"/>
      <c r="AF148" s="286"/>
      <c r="AG148" s="286"/>
      <c r="AH148" s="286"/>
      <c r="AI148" s="286"/>
      <c r="AJ148" s="286"/>
      <c r="AK148" s="286"/>
      <c r="AL148" s="286"/>
      <c r="AM148" s="286"/>
      <c r="AN148" s="286"/>
      <c r="AO148" s="286"/>
      <c r="AP148" s="286"/>
      <c r="AQ148" s="286"/>
      <c r="AR148" s="286"/>
      <c r="AS148" s="286"/>
      <c r="AT148" s="286"/>
      <c r="AU148" s="286"/>
      <c r="AV148" s="286"/>
      <c r="AW148" s="286"/>
      <c r="AX148" s="286"/>
      <c r="AY148" s="286"/>
      <c r="AZ148" s="286"/>
      <c r="BA148" s="286"/>
      <c r="BB148" s="286"/>
      <c r="BC148" s="286"/>
      <c r="BD148" s="286"/>
      <c r="BE148" s="286"/>
      <c r="BF148" s="286"/>
      <c r="BG148" s="286"/>
      <c r="BH148" s="286"/>
      <c r="BI148" s="286"/>
      <c r="BJ148" s="286"/>
      <c r="BK148" s="286"/>
      <c r="BL148" s="286"/>
      <c r="BM148" s="286"/>
      <c r="BN148" s="286"/>
      <c r="BO148" s="286"/>
      <c r="BP148" s="262"/>
      <c r="BQ148" s="262"/>
      <c r="BR148" s="262"/>
      <c r="BS148" s="314"/>
      <c r="BT148" s="186"/>
      <c r="BU148" s="186"/>
      <c r="BV148" s="186"/>
      <c r="BW148" s="186"/>
      <c r="BX148" s="186"/>
      <c r="BY148" s="186"/>
      <c r="BZ148" s="184"/>
      <c r="CA148" s="184"/>
      <c r="CB148" s="184"/>
      <c r="CC148" s="184"/>
      <c r="CD148" s="184"/>
      <c r="CE148" s="184"/>
      <c r="CF148" s="184"/>
      <c r="CG148" s="184"/>
      <c r="CH148" s="184"/>
      <c r="CI148" s="184"/>
      <c r="CJ148" s="184"/>
      <c r="CK148" s="184"/>
      <c r="CL148" s="184"/>
      <c r="CM148" s="184"/>
      <c r="CN148" s="184"/>
      <c r="CO148" s="184"/>
      <c r="CP148" s="184"/>
      <c r="CQ148" s="184"/>
      <c r="CR148" s="184"/>
      <c r="CS148" s="184"/>
      <c r="CT148" s="184"/>
      <c r="CU148" s="184"/>
      <c r="CV148" s="184"/>
      <c r="CW148" s="184"/>
      <c r="CX148" s="184"/>
      <c r="CY148" s="184"/>
      <c r="CZ148" s="184"/>
      <c r="DA148" s="184"/>
      <c r="DB148" s="184"/>
      <c r="DC148" s="184"/>
      <c r="DD148" s="184"/>
      <c r="DE148" s="184"/>
      <c r="DF148" s="184"/>
      <c r="DG148" s="184"/>
      <c r="DH148" s="184"/>
      <c r="DI148" s="184"/>
      <c r="DJ148" s="184"/>
      <c r="DK148" s="184"/>
      <c r="DL148" s="184"/>
      <c r="DM148" s="184"/>
      <c r="DN148" s="184"/>
      <c r="DO148" s="184"/>
      <c r="DP148" s="184"/>
      <c r="DQ148" s="184"/>
      <c r="DR148" s="184"/>
      <c r="DS148" s="184"/>
      <c r="DT148" s="184"/>
      <c r="DU148" s="184"/>
      <c r="DV148" s="184"/>
      <c r="DW148" s="184"/>
      <c r="DX148" s="184"/>
      <c r="DY148" s="184"/>
      <c r="DZ148" s="184"/>
      <c r="EA148" s="224"/>
    </row>
    <row r="149" spans="1:131" ht="12.2" hidden="1" customHeight="1" x14ac:dyDescent="0.2">
      <c r="A149" s="184"/>
      <c r="B149" s="186"/>
      <c r="C149" s="186"/>
      <c r="D149" s="186"/>
      <c r="E149" s="186"/>
      <c r="F149" s="269"/>
      <c r="G149" s="184"/>
      <c r="H149" s="184"/>
      <c r="I149" s="184"/>
      <c r="J149" s="184"/>
      <c r="K149" s="184"/>
      <c r="L149" s="184"/>
      <c r="M149" s="284"/>
      <c r="N149" s="287" t="s">
        <v>984</v>
      </c>
      <c r="O149" s="286"/>
      <c r="P149" s="286"/>
      <c r="Q149" s="286"/>
      <c r="R149" s="286"/>
      <c r="S149" s="286"/>
      <c r="T149" s="286"/>
      <c r="U149" s="286"/>
      <c r="V149" s="286"/>
      <c r="W149" s="286"/>
      <c r="X149" s="286"/>
      <c r="Y149" s="286"/>
      <c r="Z149" s="286"/>
      <c r="AA149" s="286"/>
      <c r="AB149" s="286"/>
      <c r="AC149" s="286"/>
      <c r="AD149" s="286"/>
      <c r="AE149" s="286"/>
      <c r="AF149" s="286"/>
      <c r="AG149" s="286"/>
      <c r="AH149" s="286"/>
      <c r="AI149" s="286"/>
      <c r="AJ149" s="286"/>
      <c r="AK149" s="286"/>
      <c r="AL149" s="286"/>
      <c r="AM149" s="286"/>
      <c r="AN149" s="286"/>
      <c r="AO149" s="286"/>
      <c r="AP149" s="286"/>
      <c r="AQ149" s="286"/>
      <c r="AR149" s="286"/>
      <c r="AS149" s="286"/>
      <c r="AT149" s="286"/>
      <c r="AU149" s="286"/>
      <c r="AV149" s="286"/>
      <c r="AW149" s="286"/>
      <c r="AX149" s="286"/>
      <c r="AY149" s="286"/>
      <c r="AZ149" s="286"/>
      <c r="BA149" s="286"/>
      <c r="BB149" s="646" t="e">
        <f>Daten!E515</f>
        <v>#N/A</v>
      </c>
      <c r="BC149" s="646"/>
      <c r="BD149" s="646"/>
      <c r="BE149" s="646"/>
      <c r="BF149" s="646"/>
      <c r="BG149" s="646"/>
      <c r="BH149" s="646"/>
      <c r="BI149" s="646"/>
      <c r="BJ149" s="646"/>
      <c r="BK149" s="646"/>
      <c r="BL149" s="646"/>
      <c r="BM149" s="286"/>
      <c r="BN149" s="287" t="s">
        <v>853</v>
      </c>
      <c r="BO149" s="286"/>
      <c r="BP149" s="262"/>
      <c r="BQ149" s="262"/>
      <c r="BR149" s="262"/>
      <c r="BS149" s="314"/>
      <c r="BT149" s="186"/>
      <c r="BU149" s="186"/>
      <c r="BV149" s="186"/>
      <c r="BW149" s="186"/>
      <c r="BX149" s="186"/>
      <c r="BY149" s="186"/>
      <c r="BZ149" s="184"/>
      <c r="CA149" s="184"/>
      <c r="CB149" s="184"/>
      <c r="CC149" s="184"/>
      <c r="CD149" s="184"/>
      <c r="CE149" s="184"/>
      <c r="CF149" s="184"/>
      <c r="CG149" s="184"/>
      <c r="CH149" s="184"/>
      <c r="CI149" s="184"/>
      <c r="CJ149" s="184"/>
      <c r="CK149" s="184"/>
      <c r="CL149" s="184"/>
      <c r="CM149" s="184"/>
      <c r="CN149" s="184"/>
      <c r="CO149" s="184"/>
      <c r="CP149" s="184"/>
      <c r="CQ149" s="184"/>
      <c r="CR149" s="184"/>
      <c r="CS149" s="184"/>
      <c r="CT149" s="184"/>
      <c r="CU149" s="184"/>
      <c r="CV149" s="184"/>
      <c r="CW149" s="184"/>
      <c r="CX149" s="184"/>
      <c r="CY149" s="184"/>
      <c r="CZ149" s="184"/>
      <c r="DA149" s="184"/>
      <c r="DB149" s="184"/>
      <c r="DC149" s="184"/>
      <c r="DD149" s="184"/>
      <c r="DE149" s="184"/>
      <c r="DF149" s="184"/>
      <c r="DG149" s="184"/>
      <c r="DH149" s="184"/>
      <c r="DI149" s="184"/>
      <c r="DJ149" s="184"/>
      <c r="DK149" s="184"/>
      <c r="DL149" s="184"/>
      <c r="DM149" s="184"/>
      <c r="DN149" s="184"/>
      <c r="DO149" s="184"/>
      <c r="DP149" s="184"/>
      <c r="DQ149" s="184"/>
      <c r="DR149" s="184"/>
      <c r="DS149" s="184"/>
      <c r="DT149" s="184"/>
      <c r="DU149" s="184"/>
      <c r="DV149" s="184"/>
      <c r="DW149" s="184"/>
      <c r="DX149" s="184"/>
      <c r="DY149" s="184"/>
      <c r="DZ149" s="184"/>
      <c r="EA149" s="224"/>
    </row>
    <row r="150" spans="1:131" ht="2.1" hidden="1" customHeight="1" x14ac:dyDescent="0.2">
      <c r="A150" s="184"/>
      <c r="B150" s="186"/>
      <c r="C150" s="186"/>
      <c r="D150" s="186"/>
      <c r="E150" s="186"/>
      <c r="F150" s="269"/>
      <c r="G150" s="184"/>
      <c r="H150" s="184"/>
      <c r="I150" s="184"/>
      <c r="J150" s="184"/>
      <c r="K150" s="184"/>
      <c r="L150" s="184"/>
      <c r="M150" s="284"/>
      <c r="N150" s="286"/>
      <c r="O150" s="286"/>
      <c r="P150" s="286"/>
      <c r="Q150" s="286"/>
      <c r="R150" s="286"/>
      <c r="S150" s="286"/>
      <c r="T150" s="286"/>
      <c r="U150" s="286"/>
      <c r="V150" s="286"/>
      <c r="W150" s="286"/>
      <c r="X150" s="286"/>
      <c r="Y150" s="286"/>
      <c r="Z150" s="286"/>
      <c r="AA150" s="286"/>
      <c r="AB150" s="286"/>
      <c r="AC150" s="286"/>
      <c r="AD150" s="286"/>
      <c r="AE150" s="286"/>
      <c r="AF150" s="286"/>
      <c r="AG150" s="286"/>
      <c r="AH150" s="286"/>
      <c r="AI150" s="286"/>
      <c r="AJ150" s="286"/>
      <c r="AK150" s="286"/>
      <c r="AL150" s="286"/>
      <c r="AM150" s="286"/>
      <c r="AN150" s="286"/>
      <c r="AO150" s="286"/>
      <c r="AP150" s="286"/>
      <c r="AQ150" s="286"/>
      <c r="AR150" s="286"/>
      <c r="AS150" s="286"/>
      <c r="AT150" s="286"/>
      <c r="AU150" s="286"/>
      <c r="AV150" s="286"/>
      <c r="AW150" s="286"/>
      <c r="AX150" s="286"/>
      <c r="AY150" s="286"/>
      <c r="AZ150" s="286"/>
      <c r="BA150" s="286"/>
      <c r="BB150" s="289"/>
      <c r="BC150" s="289"/>
      <c r="BD150" s="289"/>
      <c r="BE150" s="289"/>
      <c r="BF150" s="289"/>
      <c r="BG150" s="289"/>
      <c r="BH150" s="289"/>
      <c r="BI150" s="289"/>
      <c r="BJ150" s="289"/>
      <c r="BK150" s="289"/>
      <c r="BL150" s="289"/>
      <c r="BM150" s="286"/>
      <c r="BN150" s="286"/>
      <c r="BO150" s="286"/>
      <c r="BP150" s="262"/>
      <c r="BQ150" s="262"/>
      <c r="BR150" s="262"/>
      <c r="BS150" s="314"/>
      <c r="BT150" s="186"/>
      <c r="BU150" s="186"/>
      <c r="BV150" s="186"/>
      <c r="BW150" s="186"/>
      <c r="BX150" s="186"/>
      <c r="BY150" s="186"/>
      <c r="BZ150" s="184"/>
      <c r="CA150" s="184"/>
      <c r="CB150" s="184"/>
      <c r="CC150" s="184"/>
      <c r="CD150" s="184"/>
      <c r="CE150" s="184"/>
      <c r="CF150" s="184"/>
      <c r="CG150" s="184"/>
      <c r="CH150" s="184"/>
      <c r="CI150" s="184"/>
      <c r="CJ150" s="184"/>
      <c r="CK150" s="184"/>
      <c r="CL150" s="184"/>
      <c r="CM150" s="184"/>
      <c r="CN150" s="184"/>
      <c r="CO150" s="184"/>
      <c r="CP150" s="184"/>
      <c r="CQ150" s="184"/>
      <c r="CR150" s="184"/>
      <c r="CS150" s="184"/>
      <c r="CT150" s="184"/>
      <c r="CU150" s="184"/>
      <c r="CV150" s="184"/>
      <c r="CW150" s="184"/>
      <c r="CX150" s="184"/>
      <c r="CY150" s="184"/>
      <c r="CZ150" s="184"/>
      <c r="DA150" s="184"/>
      <c r="DB150" s="184"/>
      <c r="DC150" s="184"/>
      <c r="DD150" s="184"/>
      <c r="DE150" s="184"/>
      <c r="DF150" s="184"/>
      <c r="DG150" s="184"/>
      <c r="DH150" s="184"/>
      <c r="DI150" s="184"/>
      <c r="DJ150" s="184"/>
      <c r="DK150" s="184"/>
      <c r="DL150" s="184"/>
      <c r="DM150" s="184"/>
      <c r="DN150" s="184"/>
      <c r="DO150" s="184"/>
      <c r="DP150" s="184"/>
      <c r="DQ150" s="184"/>
      <c r="DR150" s="184"/>
      <c r="DS150" s="184"/>
      <c r="DT150" s="184"/>
      <c r="DU150" s="184"/>
      <c r="DV150" s="184"/>
      <c r="DW150" s="184"/>
      <c r="DX150" s="184"/>
      <c r="DY150" s="184"/>
      <c r="DZ150" s="184"/>
      <c r="EA150" s="224"/>
    </row>
    <row r="151" spans="1:131" ht="10.15" hidden="1" customHeight="1" x14ac:dyDescent="0.2">
      <c r="A151" s="184"/>
      <c r="B151" s="186"/>
      <c r="C151" s="186"/>
      <c r="D151" s="186"/>
      <c r="E151" s="186"/>
      <c r="F151" s="269"/>
      <c r="G151" s="184"/>
      <c r="H151" s="184"/>
      <c r="I151" s="184"/>
      <c r="J151" s="184"/>
      <c r="K151" s="184"/>
      <c r="L151" s="184"/>
      <c r="M151" s="284"/>
      <c r="N151" s="290" t="str">
        <f>IF(Daten!D362=1,Daten!G506&amp;""&amp;TEXT(Daten!E517,"0,00")&amp;" "&amp;Daten!G508&amp;" "&amp;TEXT(Daten!E518,"0,00")&amp;" "&amp;Daten!G511,"")</f>
        <v/>
      </c>
      <c r="O151" s="286"/>
      <c r="P151" s="286"/>
      <c r="Q151" s="286"/>
      <c r="R151" s="286"/>
      <c r="S151" s="286"/>
      <c r="T151" s="286"/>
      <c r="U151" s="286"/>
      <c r="V151" s="286"/>
      <c r="W151" s="286"/>
      <c r="X151" s="286"/>
      <c r="Y151" s="286"/>
      <c r="Z151" s="286"/>
      <c r="AA151" s="286"/>
      <c r="AB151" s="286"/>
      <c r="AC151" s="286"/>
      <c r="AD151" s="286"/>
      <c r="AE151" s="286"/>
      <c r="AF151" s="286"/>
      <c r="AG151" s="286"/>
      <c r="AH151" s="286"/>
      <c r="AI151" s="286"/>
      <c r="AJ151" s="286"/>
      <c r="AK151" s="286"/>
      <c r="AL151" s="286"/>
      <c r="AM151" s="286"/>
      <c r="AN151" s="286"/>
      <c r="AO151" s="286"/>
      <c r="AP151" s="286"/>
      <c r="AQ151" s="286"/>
      <c r="AR151" s="286"/>
      <c r="AS151" s="286"/>
      <c r="AT151" s="286"/>
      <c r="AU151" s="286"/>
      <c r="AV151" s="286"/>
      <c r="AW151" s="286"/>
      <c r="AX151" s="286"/>
      <c r="AY151" s="286"/>
      <c r="AZ151" s="286"/>
      <c r="BA151" s="286"/>
      <c r="BB151" s="286"/>
      <c r="BC151" s="286"/>
      <c r="BD151" s="286"/>
      <c r="BE151" s="286"/>
      <c r="BF151" s="286"/>
      <c r="BG151" s="286"/>
      <c r="BH151" s="286"/>
      <c r="BI151" s="286"/>
      <c r="BJ151" s="286"/>
      <c r="BK151" s="286"/>
      <c r="BL151" s="286"/>
      <c r="BM151" s="286"/>
      <c r="BN151" s="286"/>
      <c r="BO151" s="286"/>
      <c r="BP151" s="262"/>
      <c r="BQ151" s="262"/>
      <c r="BR151" s="262"/>
      <c r="BS151" s="314"/>
      <c r="BT151" s="186"/>
      <c r="BU151" s="186"/>
      <c r="BV151" s="186"/>
      <c r="BW151" s="186"/>
      <c r="BX151" s="186"/>
      <c r="BY151" s="186"/>
      <c r="BZ151" s="184"/>
      <c r="CA151" s="184"/>
      <c r="CB151" s="184"/>
      <c r="CC151" s="184"/>
      <c r="CD151" s="184"/>
      <c r="CE151" s="184"/>
      <c r="CF151" s="184"/>
      <c r="CG151" s="184"/>
      <c r="CH151" s="184"/>
      <c r="CI151" s="184"/>
      <c r="CJ151" s="184"/>
      <c r="CK151" s="184"/>
      <c r="CL151" s="184"/>
      <c r="CM151" s="184"/>
      <c r="CN151" s="184"/>
      <c r="CO151" s="184"/>
      <c r="CP151" s="184"/>
      <c r="CQ151" s="184"/>
      <c r="CR151" s="184"/>
      <c r="CS151" s="184"/>
      <c r="CT151" s="184"/>
      <c r="CU151" s="184"/>
      <c r="CV151" s="184"/>
      <c r="CW151" s="184"/>
      <c r="CX151" s="184"/>
      <c r="CY151" s="184"/>
      <c r="CZ151" s="184"/>
      <c r="DA151" s="184"/>
      <c r="DB151" s="184"/>
      <c r="DC151" s="184"/>
      <c r="DD151" s="184"/>
      <c r="DE151" s="184"/>
      <c r="DF151" s="184"/>
      <c r="DG151" s="184"/>
      <c r="DH151" s="184"/>
      <c r="DI151" s="184"/>
      <c r="DJ151" s="184"/>
      <c r="DK151" s="184"/>
      <c r="DL151" s="184"/>
      <c r="DM151" s="184"/>
      <c r="DN151" s="184"/>
      <c r="DO151" s="184"/>
      <c r="DP151" s="184"/>
      <c r="DQ151" s="184"/>
      <c r="DR151" s="184"/>
      <c r="DS151" s="184"/>
      <c r="DT151" s="184"/>
      <c r="DU151" s="184"/>
      <c r="DV151" s="184"/>
      <c r="DW151" s="184"/>
      <c r="DX151" s="184"/>
      <c r="DY151" s="184"/>
      <c r="DZ151" s="184"/>
      <c r="EA151" s="224"/>
    </row>
    <row r="152" spans="1:131" ht="5.0999999999999996" hidden="1" customHeight="1" x14ac:dyDescent="0.2">
      <c r="A152" s="184"/>
      <c r="B152" s="186"/>
      <c r="C152" s="186"/>
      <c r="D152" s="186"/>
      <c r="E152" s="186"/>
      <c r="F152" s="269"/>
      <c r="G152" s="184"/>
      <c r="H152" s="184"/>
      <c r="I152" s="184"/>
      <c r="J152" s="184"/>
      <c r="K152" s="184"/>
      <c r="L152" s="184"/>
      <c r="M152" s="284"/>
      <c r="N152" s="286"/>
      <c r="O152" s="286"/>
      <c r="P152" s="286"/>
      <c r="Q152" s="286"/>
      <c r="R152" s="286"/>
      <c r="S152" s="286"/>
      <c r="T152" s="286"/>
      <c r="U152" s="286"/>
      <c r="V152" s="286"/>
      <c r="W152" s="286"/>
      <c r="X152" s="286"/>
      <c r="Y152" s="286"/>
      <c r="Z152" s="286"/>
      <c r="AA152" s="286"/>
      <c r="AB152" s="286"/>
      <c r="AC152" s="286"/>
      <c r="AD152" s="286"/>
      <c r="AE152" s="286"/>
      <c r="AF152" s="286"/>
      <c r="AG152" s="286"/>
      <c r="AH152" s="286"/>
      <c r="AI152" s="286"/>
      <c r="AJ152" s="286"/>
      <c r="AK152" s="286"/>
      <c r="AL152" s="286"/>
      <c r="AM152" s="286"/>
      <c r="AN152" s="286"/>
      <c r="AO152" s="286"/>
      <c r="AP152" s="286"/>
      <c r="AQ152" s="286"/>
      <c r="AR152" s="286"/>
      <c r="AS152" s="286"/>
      <c r="AT152" s="286"/>
      <c r="AU152" s="286"/>
      <c r="AV152" s="286"/>
      <c r="AW152" s="286"/>
      <c r="AX152" s="286"/>
      <c r="AY152" s="286"/>
      <c r="AZ152" s="286"/>
      <c r="BA152" s="286"/>
      <c r="BB152" s="286"/>
      <c r="BC152" s="286"/>
      <c r="BD152" s="286"/>
      <c r="BE152" s="286"/>
      <c r="BF152" s="286"/>
      <c r="BG152" s="286"/>
      <c r="BH152" s="286"/>
      <c r="BI152" s="286"/>
      <c r="BJ152" s="286"/>
      <c r="BK152" s="286"/>
      <c r="BL152" s="286"/>
      <c r="BM152" s="286"/>
      <c r="BN152" s="286"/>
      <c r="BO152" s="286"/>
      <c r="BP152" s="262"/>
      <c r="BQ152" s="262"/>
      <c r="BR152" s="262"/>
      <c r="BS152" s="314"/>
      <c r="BT152" s="186"/>
      <c r="BU152" s="186"/>
      <c r="BV152" s="186"/>
      <c r="BW152" s="186"/>
      <c r="BX152" s="186"/>
      <c r="BY152" s="186"/>
      <c r="BZ152" s="184"/>
      <c r="CA152" s="184"/>
      <c r="CB152" s="184"/>
      <c r="CC152" s="184"/>
      <c r="CD152" s="184"/>
      <c r="CE152" s="184"/>
      <c r="CF152" s="184"/>
      <c r="CG152" s="184"/>
      <c r="CH152" s="184"/>
      <c r="CI152" s="184"/>
      <c r="CJ152" s="184"/>
      <c r="CK152" s="184"/>
      <c r="CL152" s="184"/>
      <c r="CM152" s="184"/>
      <c r="CN152" s="184"/>
      <c r="CO152" s="184"/>
      <c r="CP152" s="184"/>
      <c r="CQ152" s="184"/>
      <c r="CR152" s="184"/>
      <c r="CS152" s="184"/>
      <c r="CT152" s="184"/>
      <c r="CU152" s="184"/>
      <c r="CV152" s="184"/>
      <c r="CW152" s="184"/>
      <c r="CX152" s="184"/>
      <c r="CY152" s="184"/>
      <c r="CZ152" s="184"/>
      <c r="DA152" s="184"/>
      <c r="DB152" s="184"/>
      <c r="DC152" s="184"/>
      <c r="DD152" s="184"/>
      <c r="DE152" s="184"/>
      <c r="DF152" s="184"/>
      <c r="DG152" s="184"/>
      <c r="DH152" s="184"/>
      <c r="DI152" s="184"/>
      <c r="DJ152" s="184"/>
      <c r="DK152" s="184"/>
      <c r="DL152" s="184"/>
      <c r="DM152" s="184"/>
      <c r="DN152" s="184"/>
      <c r="DO152" s="184"/>
      <c r="DP152" s="184"/>
      <c r="DQ152" s="184"/>
      <c r="DR152" s="184"/>
      <c r="DS152" s="184"/>
      <c r="DT152" s="184"/>
      <c r="DU152" s="184"/>
      <c r="DV152" s="184"/>
      <c r="DW152" s="184"/>
      <c r="DX152" s="184"/>
      <c r="DY152" s="184"/>
      <c r="DZ152" s="184"/>
      <c r="EA152" s="224"/>
    </row>
    <row r="153" spans="1:131" ht="12.2" hidden="1" customHeight="1" x14ac:dyDescent="0.2">
      <c r="A153" s="293"/>
      <c r="B153" s="294"/>
      <c r="C153" s="294"/>
      <c r="D153" s="294"/>
      <c r="E153" s="294"/>
      <c r="F153" s="315"/>
      <c r="G153" s="197"/>
      <c r="H153" s="197"/>
      <c r="I153" s="197"/>
      <c r="J153" s="197"/>
      <c r="K153" s="197"/>
      <c r="L153" s="197"/>
      <c r="M153" s="284"/>
      <c r="N153" s="295" t="s">
        <v>1014</v>
      </c>
      <c r="O153" s="287"/>
      <c r="P153" s="287"/>
      <c r="Q153" s="287"/>
      <c r="R153" s="287"/>
      <c r="S153" s="287"/>
      <c r="T153" s="287"/>
      <c r="U153" s="287"/>
      <c r="V153" s="287"/>
      <c r="W153" s="287"/>
      <c r="X153" s="287"/>
      <c r="Y153" s="287"/>
      <c r="Z153" s="287"/>
      <c r="AA153" s="287"/>
      <c r="AB153" s="287"/>
      <c r="AC153" s="287"/>
      <c r="AD153" s="287"/>
      <c r="AE153" s="287"/>
      <c r="AF153" s="287"/>
      <c r="AG153" s="287"/>
      <c r="AH153" s="287"/>
      <c r="AI153" s="287"/>
      <c r="AJ153" s="287"/>
      <c r="AK153" s="287"/>
      <c r="AL153" s="287"/>
      <c r="AM153" s="287"/>
      <c r="AN153" s="287"/>
      <c r="AO153" s="287"/>
      <c r="AP153" s="287"/>
      <c r="AQ153" s="287"/>
      <c r="AR153" s="287"/>
      <c r="AS153" s="287"/>
      <c r="AT153" s="287"/>
      <c r="AU153" s="287"/>
      <c r="AV153" s="287"/>
      <c r="AW153" s="287"/>
      <c r="AX153" s="287"/>
      <c r="AY153" s="287"/>
      <c r="AZ153" s="287"/>
      <c r="BA153" s="287"/>
      <c r="BB153" s="646" t="e">
        <f>Daten!E516</f>
        <v>#N/A</v>
      </c>
      <c r="BC153" s="646"/>
      <c r="BD153" s="646"/>
      <c r="BE153" s="646"/>
      <c r="BF153" s="646"/>
      <c r="BG153" s="646"/>
      <c r="BH153" s="646"/>
      <c r="BI153" s="646"/>
      <c r="BJ153" s="646"/>
      <c r="BK153" s="646"/>
      <c r="BL153" s="646"/>
      <c r="BM153" s="287"/>
      <c r="BN153" s="287" t="s">
        <v>853</v>
      </c>
      <c r="BO153" s="287"/>
      <c r="BP153" s="262"/>
      <c r="BQ153" s="262"/>
      <c r="BR153" s="262"/>
      <c r="BS153" s="314"/>
      <c r="BT153" s="186"/>
      <c r="BU153" s="186"/>
      <c r="BV153" s="186"/>
      <c r="BW153" s="186"/>
      <c r="BX153" s="186"/>
      <c r="BY153" s="186"/>
      <c r="BZ153" s="184"/>
      <c r="CA153" s="184"/>
      <c r="CB153" s="184"/>
      <c r="CC153" s="184"/>
      <c r="CD153" s="184"/>
      <c r="CE153" s="184"/>
      <c r="CF153" s="184"/>
      <c r="CG153" s="184"/>
      <c r="CH153" s="184"/>
      <c r="CI153" s="184"/>
      <c r="CJ153" s="184"/>
      <c r="CK153" s="184"/>
      <c r="CL153" s="184"/>
      <c r="CM153" s="184"/>
      <c r="CN153" s="184"/>
      <c r="CO153" s="184"/>
      <c r="CP153" s="184"/>
      <c r="CQ153" s="184"/>
      <c r="CR153" s="184"/>
      <c r="CS153" s="184"/>
      <c r="CT153" s="184"/>
      <c r="CU153" s="184"/>
      <c r="CV153" s="184"/>
      <c r="CW153" s="184"/>
      <c r="CX153" s="184"/>
      <c r="CY153" s="184"/>
      <c r="CZ153" s="184"/>
      <c r="DA153" s="184"/>
      <c r="DB153" s="184"/>
      <c r="DC153" s="184"/>
      <c r="DD153" s="184"/>
      <c r="DE153" s="184"/>
      <c r="DF153" s="184"/>
      <c r="DG153" s="184"/>
      <c r="DH153" s="184"/>
      <c r="DI153" s="184"/>
      <c r="DJ153" s="184"/>
      <c r="DK153" s="184"/>
      <c r="DL153" s="184"/>
      <c r="DM153" s="184"/>
      <c r="DN153" s="184"/>
      <c r="DO153" s="184"/>
      <c r="DP153" s="184"/>
      <c r="DQ153" s="184"/>
      <c r="DR153" s="184"/>
      <c r="DS153" s="184"/>
      <c r="DT153" s="184"/>
      <c r="DU153" s="184"/>
      <c r="DV153" s="184"/>
      <c r="DW153" s="184"/>
      <c r="DX153" s="184"/>
      <c r="DY153" s="184"/>
      <c r="DZ153" s="184"/>
      <c r="EA153" s="224"/>
    </row>
    <row r="154" spans="1:131" ht="10.5" hidden="1" customHeight="1" x14ac:dyDescent="0.2">
      <c r="A154" s="184"/>
      <c r="B154" s="186"/>
      <c r="C154" s="186"/>
      <c r="D154" s="186"/>
      <c r="E154" s="186"/>
      <c r="F154" s="269"/>
      <c r="G154" s="184"/>
      <c r="H154" s="184"/>
      <c r="I154" s="184"/>
      <c r="J154" s="184"/>
      <c r="K154" s="184"/>
      <c r="L154" s="184"/>
      <c r="M154" s="284"/>
      <c r="N154" s="296"/>
      <c r="O154" s="286"/>
      <c r="P154" s="286"/>
      <c r="Q154" s="286"/>
      <c r="R154" s="286"/>
      <c r="S154" s="286"/>
      <c r="T154" s="286"/>
      <c r="U154" s="286"/>
      <c r="V154" s="286"/>
      <c r="W154" s="286"/>
      <c r="X154" s="286"/>
      <c r="Y154" s="286"/>
      <c r="Z154" s="286"/>
      <c r="AA154" s="286"/>
      <c r="AB154" s="286"/>
      <c r="AC154" s="286"/>
      <c r="AD154" s="286"/>
      <c r="AE154" s="286"/>
      <c r="AF154" s="286"/>
      <c r="AG154" s="286"/>
      <c r="AH154" s="286"/>
      <c r="AI154" s="286"/>
      <c r="AJ154" s="286"/>
      <c r="AK154" s="286"/>
      <c r="AL154" s="286"/>
      <c r="AM154" s="286"/>
      <c r="AN154" s="286"/>
      <c r="AO154" s="286"/>
      <c r="AP154" s="286"/>
      <c r="AQ154" s="286"/>
      <c r="AR154" s="286"/>
      <c r="AS154" s="286"/>
      <c r="AT154" s="286"/>
      <c r="AU154" s="286"/>
      <c r="AV154" s="286"/>
      <c r="AW154" s="286"/>
      <c r="AX154" s="286"/>
      <c r="AY154" s="286"/>
      <c r="AZ154" s="286"/>
      <c r="BA154" s="286"/>
      <c r="BB154" s="286"/>
      <c r="BC154" s="286"/>
      <c r="BD154" s="286"/>
      <c r="BE154" s="286"/>
      <c r="BF154" s="286"/>
      <c r="BG154" s="286"/>
      <c r="BH154" s="286"/>
      <c r="BI154" s="286"/>
      <c r="BJ154" s="286"/>
      <c r="BK154" s="286"/>
      <c r="BL154" s="286"/>
      <c r="BM154" s="286"/>
      <c r="BN154" s="286"/>
      <c r="BO154" s="286"/>
      <c r="BP154" s="262"/>
      <c r="BQ154" s="262"/>
      <c r="BR154" s="262"/>
      <c r="BS154" s="314"/>
      <c r="BT154" s="186"/>
      <c r="BU154" s="186"/>
      <c r="BV154" s="186"/>
      <c r="BW154" s="186"/>
      <c r="BX154" s="186"/>
      <c r="BY154" s="186"/>
      <c r="BZ154" s="184"/>
      <c r="CA154" s="184"/>
      <c r="CB154" s="184"/>
      <c r="CC154" s="184"/>
      <c r="CD154" s="184"/>
      <c r="CE154" s="184"/>
      <c r="CF154" s="184"/>
      <c r="CG154" s="184"/>
      <c r="CH154" s="184"/>
      <c r="CI154" s="184"/>
      <c r="CJ154" s="184"/>
      <c r="CK154" s="184"/>
      <c r="CL154" s="184"/>
      <c r="CM154" s="184"/>
      <c r="CN154" s="184"/>
      <c r="CO154" s="184"/>
      <c r="CP154" s="184"/>
      <c r="CQ154" s="184"/>
      <c r="CR154" s="184"/>
      <c r="CS154" s="184"/>
      <c r="CT154" s="184"/>
      <c r="CU154" s="184"/>
      <c r="CV154" s="184"/>
      <c r="CW154" s="184"/>
      <c r="CX154" s="184"/>
      <c r="CY154" s="184"/>
      <c r="CZ154" s="184"/>
      <c r="DA154" s="184"/>
      <c r="DB154" s="184"/>
      <c r="DC154" s="184"/>
      <c r="DD154" s="184"/>
      <c r="DE154" s="184"/>
      <c r="DF154" s="184"/>
      <c r="DG154" s="184"/>
      <c r="DH154" s="184"/>
      <c r="DI154" s="184"/>
      <c r="DJ154" s="184"/>
      <c r="DK154" s="184"/>
      <c r="DL154" s="184"/>
      <c r="DM154" s="184"/>
      <c r="DN154" s="184"/>
      <c r="DO154" s="184"/>
      <c r="DP154" s="184"/>
      <c r="DQ154" s="184"/>
      <c r="DR154" s="184"/>
      <c r="DS154" s="184"/>
      <c r="DT154" s="184"/>
      <c r="DU154" s="184"/>
      <c r="DV154" s="184"/>
      <c r="DW154" s="184"/>
      <c r="DX154" s="184"/>
      <c r="DY154" s="184"/>
      <c r="DZ154" s="184"/>
      <c r="EA154" s="224"/>
    </row>
    <row r="155" spans="1:131" ht="12.2" hidden="1" customHeight="1" x14ac:dyDescent="0.2">
      <c r="A155" s="184"/>
      <c r="B155" s="186"/>
      <c r="C155" s="186"/>
      <c r="D155" s="186"/>
      <c r="E155" s="186"/>
      <c r="F155" s="269"/>
      <c r="G155" s="184"/>
      <c r="H155" s="184"/>
      <c r="I155" s="184"/>
      <c r="J155" s="184"/>
      <c r="K155" s="184"/>
      <c r="L155" s="184"/>
      <c r="M155" s="284"/>
      <c r="N155" s="287" t="s">
        <v>985</v>
      </c>
      <c r="O155" s="286"/>
      <c r="P155" s="286"/>
      <c r="Q155" s="286"/>
      <c r="R155" s="286"/>
      <c r="S155" s="286"/>
      <c r="T155" s="286"/>
      <c r="U155" s="286"/>
      <c r="V155" s="286"/>
      <c r="W155" s="286"/>
      <c r="X155" s="286"/>
      <c r="Y155" s="286"/>
      <c r="Z155" s="286"/>
      <c r="AA155" s="286"/>
      <c r="AB155" s="286"/>
      <c r="AC155" s="286"/>
      <c r="AD155" s="286"/>
      <c r="AE155" s="286"/>
      <c r="AF155" s="286"/>
      <c r="AG155" s="286"/>
      <c r="AH155" s="286"/>
      <c r="AI155" s="286"/>
      <c r="AJ155" s="286"/>
      <c r="AK155" s="286"/>
      <c r="AL155" s="286"/>
      <c r="AM155" s="286"/>
      <c r="AN155" s="286"/>
      <c r="AO155" s="286"/>
      <c r="AP155" s="286"/>
      <c r="AQ155" s="286"/>
      <c r="AR155" s="286"/>
      <c r="AS155" s="286"/>
      <c r="AT155" s="286"/>
      <c r="AU155" s="286"/>
      <c r="AV155" s="286"/>
      <c r="AW155" s="286"/>
      <c r="AX155" s="286"/>
      <c r="AY155" s="286"/>
      <c r="AZ155" s="286"/>
      <c r="BA155" s="286"/>
      <c r="BB155" s="646">
        <f>BM90</f>
        <v>0</v>
      </c>
      <c r="BC155" s="646"/>
      <c r="BD155" s="646"/>
      <c r="BE155" s="646"/>
      <c r="BF155" s="646"/>
      <c r="BG155" s="646"/>
      <c r="BH155" s="646"/>
      <c r="BI155" s="646"/>
      <c r="BJ155" s="646"/>
      <c r="BK155" s="646"/>
      <c r="BL155" s="646"/>
      <c r="BM155" s="286"/>
      <c r="BN155" s="287" t="s">
        <v>853</v>
      </c>
      <c r="BO155" s="287"/>
      <c r="BP155" s="262"/>
      <c r="BQ155" s="262"/>
      <c r="BR155" s="262"/>
      <c r="BS155" s="314"/>
      <c r="BT155" s="186"/>
      <c r="BU155" s="186"/>
      <c r="BV155" s="186"/>
      <c r="BW155" s="186"/>
      <c r="BX155" s="186"/>
      <c r="BY155" s="186"/>
      <c r="BZ155" s="184"/>
      <c r="CA155" s="184"/>
      <c r="CB155" s="184"/>
      <c r="CC155" s="184"/>
      <c r="CD155" s="184"/>
      <c r="CE155" s="184"/>
      <c r="CF155" s="184"/>
      <c r="CG155" s="184"/>
      <c r="CH155" s="184"/>
      <c r="CI155" s="184"/>
      <c r="CJ155" s="184"/>
      <c r="CK155" s="184"/>
      <c r="CL155" s="184"/>
      <c r="CM155" s="184"/>
      <c r="CN155" s="184"/>
      <c r="CO155" s="184"/>
      <c r="CP155" s="184"/>
      <c r="CQ155" s="184"/>
      <c r="CR155" s="184"/>
      <c r="CS155" s="184"/>
      <c r="CT155" s="184"/>
      <c r="CU155" s="184"/>
      <c r="CV155" s="184"/>
      <c r="CW155" s="184"/>
      <c r="CX155" s="184"/>
      <c r="CY155" s="184"/>
      <c r="CZ155" s="184"/>
      <c r="DA155" s="184"/>
      <c r="DB155" s="184"/>
      <c r="DC155" s="184"/>
      <c r="DD155" s="184"/>
      <c r="DE155" s="184"/>
      <c r="DF155" s="184"/>
      <c r="DG155" s="184"/>
      <c r="DH155" s="184"/>
      <c r="DI155" s="184"/>
      <c r="DJ155" s="184"/>
      <c r="DK155" s="184"/>
      <c r="DL155" s="184"/>
      <c r="DM155" s="184"/>
      <c r="DN155" s="184"/>
      <c r="DO155" s="184"/>
      <c r="DP155" s="184"/>
      <c r="DQ155" s="184"/>
      <c r="DR155" s="184"/>
      <c r="DS155" s="184"/>
      <c r="DT155" s="184"/>
      <c r="DU155" s="184"/>
      <c r="DV155" s="184"/>
      <c r="DW155" s="184"/>
      <c r="DX155" s="184"/>
      <c r="DY155" s="184"/>
      <c r="DZ155" s="184"/>
      <c r="EA155" s="224"/>
    </row>
    <row r="156" spans="1:131" ht="12.2" hidden="1" customHeight="1" x14ac:dyDescent="0.2">
      <c r="A156" s="184"/>
      <c r="B156" s="186"/>
      <c r="C156" s="186"/>
      <c r="D156" s="186"/>
      <c r="E156" s="186"/>
      <c r="F156" s="269"/>
      <c r="G156" s="184"/>
      <c r="H156" s="184"/>
      <c r="I156" s="184"/>
      <c r="J156" s="184"/>
      <c r="K156" s="184"/>
      <c r="L156" s="184"/>
      <c r="M156" s="284"/>
      <c r="N156" s="290" t="str">
        <f>AO92</f>
        <v/>
      </c>
      <c r="O156" s="286"/>
      <c r="P156" s="286"/>
      <c r="Q156" s="286"/>
      <c r="R156" s="286"/>
      <c r="S156" s="286"/>
      <c r="T156" s="286"/>
      <c r="U156" s="286"/>
      <c r="V156" s="286"/>
      <c r="W156" s="286"/>
      <c r="X156" s="286"/>
      <c r="Y156" s="286"/>
      <c r="Z156" s="286"/>
      <c r="AA156" s="286"/>
      <c r="AB156" s="286"/>
      <c r="AC156" s="286"/>
      <c r="AD156" s="286"/>
      <c r="AE156" s="286"/>
      <c r="AF156" s="286"/>
      <c r="AG156" s="286"/>
      <c r="AH156" s="286"/>
      <c r="AI156" s="286"/>
      <c r="AJ156" s="286"/>
      <c r="AK156" s="286"/>
      <c r="AL156" s="286"/>
      <c r="AM156" s="286"/>
      <c r="AN156" s="286"/>
      <c r="AO156" s="286"/>
      <c r="AP156" s="286"/>
      <c r="AQ156" s="286"/>
      <c r="AR156" s="286"/>
      <c r="AS156" s="286"/>
      <c r="AT156" s="286"/>
      <c r="AU156" s="286"/>
      <c r="AV156" s="286"/>
      <c r="AW156" s="286"/>
      <c r="AX156" s="286"/>
      <c r="AY156" s="286"/>
      <c r="AZ156" s="286"/>
      <c r="BA156" s="286"/>
      <c r="BB156" s="291"/>
      <c r="BC156" s="292"/>
      <c r="BD156" s="292"/>
      <c r="BE156" s="292"/>
      <c r="BF156" s="292"/>
      <c r="BG156" s="292"/>
      <c r="BH156" s="292"/>
      <c r="BI156" s="292"/>
      <c r="BJ156" s="292"/>
      <c r="BK156" s="292"/>
      <c r="BL156" s="292"/>
      <c r="BM156" s="286"/>
      <c r="BN156" s="287"/>
      <c r="BO156" s="287"/>
      <c r="BP156" s="262"/>
      <c r="BQ156" s="262"/>
      <c r="BR156" s="262"/>
      <c r="BS156" s="314"/>
      <c r="BT156" s="186"/>
      <c r="BU156" s="186"/>
      <c r="BV156" s="186"/>
      <c r="BW156" s="643"/>
      <c r="BX156" s="643"/>
      <c r="BY156" s="643"/>
      <c r="BZ156" s="184"/>
      <c r="CA156" s="184"/>
      <c r="CB156" s="184"/>
      <c r="CC156" s="184"/>
      <c r="CD156" s="184"/>
      <c r="CE156" s="184"/>
      <c r="CF156" s="184"/>
      <c r="CG156" s="184"/>
      <c r="CH156" s="184"/>
      <c r="CI156" s="184"/>
      <c r="CJ156" s="184"/>
      <c r="CK156" s="184"/>
      <c r="CL156" s="184"/>
      <c r="CM156" s="184"/>
      <c r="CN156" s="184"/>
      <c r="CO156" s="184"/>
      <c r="CP156" s="184"/>
      <c r="CQ156" s="184"/>
      <c r="CR156" s="184"/>
      <c r="CS156" s="184"/>
      <c r="CT156" s="184"/>
      <c r="CU156" s="184"/>
      <c r="CV156" s="184"/>
      <c r="CW156" s="184"/>
      <c r="CX156" s="184"/>
      <c r="CY156" s="184"/>
      <c r="CZ156" s="184"/>
      <c r="DA156" s="184"/>
      <c r="DB156" s="184"/>
      <c r="DC156" s="184"/>
      <c r="DD156" s="184"/>
      <c r="DE156" s="184"/>
      <c r="DF156" s="184"/>
      <c r="DG156" s="184"/>
      <c r="DH156" s="184"/>
      <c r="DI156" s="184"/>
      <c r="DJ156" s="184"/>
      <c r="DK156" s="184"/>
      <c r="DL156" s="184"/>
      <c r="DM156" s="184"/>
      <c r="DN156" s="184"/>
      <c r="DO156" s="184"/>
      <c r="DP156" s="184"/>
      <c r="DQ156" s="184"/>
      <c r="DR156" s="184"/>
      <c r="DS156" s="184"/>
      <c r="DT156" s="184"/>
      <c r="DU156" s="184"/>
      <c r="DV156" s="184"/>
      <c r="DW156" s="184"/>
      <c r="DX156" s="184"/>
      <c r="DY156" s="184"/>
      <c r="DZ156" s="184"/>
      <c r="EA156" s="224"/>
    </row>
    <row r="157" spans="1:131" ht="6.95" hidden="1" customHeight="1" x14ac:dyDescent="0.2">
      <c r="A157" s="184"/>
      <c r="B157" s="186"/>
      <c r="C157" s="186"/>
      <c r="D157" s="186"/>
      <c r="E157" s="186"/>
      <c r="F157" s="316"/>
      <c r="G157" s="279"/>
      <c r="H157" s="279"/>
      <c r="I157" s="279"/>
      <c r="J157" s="279"/>
      <c r="K157" s="279"/>
      <c r="L157" s="279"/>
      <c r="M157" s="279"/>
      <c r="N157" s="317"/>
      <c r="O157" s="317"/>
      <c r="P157" s="317"/>
      <c r="Q157" s="317"/>
      <c r="R157" s="317"/>
      <c r="S157" s="317"/>
      <c r="T157" s="317"/>
      <c r="U157" s="317"/>
      <c r="V157" s="317"/>
      <c r="W157" s="317"/>
      <c r="X157" s="317"/>
      <c r="Y157" s="317"/>
      <c r="Z157" s="317"/>
      <c r="AA157" s="317"/>
      <c r="AB157" s="317"/>
      <c r="AC157" s="317"/>
      <c r="AD157" s="317"/>
      <c r="AE157" s="317"/>
      <c r="AF157" s="317"/>
      <c r="AG157" s="317"/>
      <c r="AH157" s="317"/>
      <c r="AI157" s="317"/>
      <c r="AJ157" s="317"/>
      <c r="AK157" s="317"/>
      <c r="AL157" s="317"/>
      <c r="AM157" s="317"/>
      <c r="AN157" s="317"/>
      <c r="AO157" s="317"/>
      <c r="AP157" s="317"/>
      <c r="AQ157" s="317"/>
      <c r="AR157" s="317"/>
      <c r="AS157" s="317"/>
      <c r="AT157" s="317"/>
      <c r="AU157" s="317"/>
      <c r="AV157" s="317"/>
      <c r="AW157" s="317"/>
      <c r="AX157" s="317"/>
      <c r="AY157" s="317"/>
      <c r="AZ157" s="317"/>
      <c r="BA157" s="317"/>
      <c r="BB157" s="317"/>
      <c r="BC157" s="317"/>
      <c r="BD157" s="317"/>
      <c r="BE157" s="317"/>
      <c r="BF157" s="317"/>
      <c r="BG157" s="317"/>
      <c r="BH157" s="317"/>
      <c r="BI157" s="317"/>
      <c r="BJ157" s="317"/>
      <c r="BK157" s="317"/>
      <c r="BL157" s="317"/>
      <c r="BM157" s="317"/>
      <c r="BN157" s="317"/>
      <c r="BO157" s="317"/>
      <c r="BP157" s="317"/>
      <c r="BQ157" s="317"/>
      <c r="BR157" s="317"/>
      <c r="BS157" s="318"/>
      <c r="BT157" s="186"/>
      <c r="BU157" s="186"/>
      <c r="BV157" s="186"/>
      <c r="BW157" s="643"/>
      <c r="BX157" s="643"/>
      <c r="BY157" s="643"/>
      <c r="BZ157" s="184"/>
      <c r="CA157" s="184"/>
      <c r="CB157" s="184"/>
      <c r="CC157" s="184"/>
      <c r="CD157" s="184"/>
      <c r="CE157" s="184"/>
      <c r="CF157" s="184"/>
      <c r="CG157" s="184"/>
      <c r="CH157" s="184"/>
      <c r="CI157" s="184"/>
      <c r="CJ157" s="184"/>
      <c r="CK157" s="184"/>
      <c r="CL157" s="184"/>
      <c r="CM157" s="184"/>
      <c r="CN157" s="184"/>
      <c r="CO157" s="184"/>
      <c r="CP157" s="184"/>
      <c r="CQ157" s="184"/>
      <c r="CR157" s="184"/>
      <c r="CS157" s="184"/>
      <c r="CT157" s="184"/>
      <c r="CU157" s="184"/>
      <c r="CV157" s="184"/>
      <c r="CW157" s="184"/>
      <c r="CX157" s="184"/>
      <c r="CY157" s="184"/>
      <c r="CZ157" s="184"/>
      <c r="DA157" s="184"/>
      <c r="DB157" s="184"/>
      <c r="DC157" s="184"/>
      <c r="DD157" s="184"/>
      <c r="DE157" s="184"/>
      <c r="DF157" s="184"/>
      <c r="DG157" s="184"/>
      <c r="DH157" s="184"/>
      <c r="DI157" s="184"/>
      <c r="DJ157" s="184"/>
      <c r="DK157" s="184"/>
      <c r="DL157" s="184"/>
      <c r="DM157" s="184"/>
      <c r="DN157" s="184"/>
      <c r="DO157" s="184"/>
      <c r="DP157" s="184"/>
      <c r="DQ157" s="184"/>
      <c r="DR157" s="184"/>
      <c r="DS157" s="184"/>
      <c r="DT157" s="184"/>
      <c r="DU157" s="184"/>
      <c r="DV157" s="184"/>
      <c r="DW157" s="184"/>
      <c r="DX157" s="184"/>
      <c r="DY157" s="184"/>
      <c r="DZ157" s="184"/>
      <c r="EA157" s="224"/>
    </row>
    <row r="158" spans="1:131" ht="6" hidden="1" customHeight="1" x14ac:dyDescent="0.2">
      <c r="A158" s="184"/>
      <c r="B158" s="186"/>
      <c r="C158" s="186"/>
      <c r="D158" s="186"/>
      <c r="E158" s="186"/>
      <c r="F158" s="186"/>
      <c r="G158" s="186"/>
      <c r="H158" s="186"/>
      <c r="I158" s="186"/>
      <c r="J158" s="186"/>
      <c r="K158" s="186"/>
      <c r="L158" s="186"/>
      <c r="M158" s="186"/>
      <c r="N158" s="186"/>
      <c r="O158" s="186"/>
      <c r="P158" s="186"/>
      <c r="Q158" s="186"/>
      <c r="R158" s="186"/>
      <c r="S158" s="186"/>
      <c r="T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c r="AY158" s="186"/>
      <c r="AZ158" s="186"/>
      <c r="BA158" s="186"/>
      <c r="BB158" s="186"/>
      <c r="BC158" s="186"/>
      <c r="BD158" s="186"/>
      <c r="BE158" s="186"/>
      <c r="BF158" s="186"/>
      <c r="BG158" s="186"/>
      <c r="BH158" s="186"/>
      <c r="BI158" s="186"/>
      <c r="BJ158" s="186"/>
      <c r="BK158" s="186"/>
      <c r="BL158" s="186"/>
      <c r="BM158" s="186"/>
      <c r="BN158" s="186"/>
      <c r="BO158" s="186"/>
      <c r="BP158" s="186"/>
      <c r="BQ158" s="186"/>
      <c r="BR158" s="186"/>
      <c r="BS158" s="186"/>
      <c r="BT158" s="186"/>
      <c r="BU158" s="186"/>
      <c r="BV158" s="186"/>
      <c r="BW158" s="186"/>
      <c r="BX158" s="186"/>
      <c r="BY158" s="186"/>
      <c r="BZ158" s="184"/>
      <c r="CA158" s="184"/>
      <c r="CB158" s="184"/>
      <c r="CC158" s="184"/>
      <c r="CD158" s="184"/>
      <c r="CE158" s="184"/>
      <c r="CF158" s="184"/>
      <c r="CG158" s="184"/>
      <c r="CH158" s="184"/>
      <c r="CI158" s="184"/>
      <c r="CJ158" s="184"/>
      <c r="CK158" s="184"/>
      <c r="CL158" s="184"/>
      <c r="CM158" s="184"/>
      <c r="CN158" s="184"/>
      <c r="CO158" s="184"/>
      <c r="CP158" s="184"/>
      <c r="CQ158" s="184"/>
      <c r="CR158" s="184"/>
      <c r="CS158" s="184"/>
      <c r="CT158" s="184"/>
      <c r="CU158" s="184"/>
      <c r="CV158" s="184"/>
      <c r="CW158" s="184"/>
      <c r="CX158" s="184"/>
      <c r="CY158" s="184"/>
      <c r="CZ158" s="184"/>
      <c r="DA158" s="184"/>
      <c r="DB158" s="184"/>
      <c r="DC158" s="184"/>
      <c r="DD158" s="184"/>
      <c r="DE158" s="184"/>
      <c r="DF158" s="184"/>
      <c r="DG158" s="184"/>
      <c r="DH158" s="184"/>
      <c r="DI158" s="184"/>
      <c r="DJ158" s="184"/>
      <c r="DK158" s="184"/>
      <c r="DL158" s="184"/>
      <c r="DM158" s="184"/>
      <c r="DN158" s="184"/>
      <c r="DO158" s="184"/>
      <c r="DP158" s="184"/>
      <c r="DQ158" s="184"/>
      <c r="DR158" s="184"/>
      <c r="DS158" s="184"/>
      <c r="DT158" s="184"/>
      <c r="DU158" s="184"/>
      <c r="DV158" s="184"/>
      <c r="DW158" s="184"/>
      <c r="DX158" s="184"/>
      <c r="DY158" s="184"/>
      <c r="DZ158" s="184"/>
      <c r="EA158" s="224"/>
    </row>
    <row r="159" spans="1:131" ht="2.1" hidden="1" customHeight="1" x14ac:dyDescent="0.2">
      <c r="A159" s="184"/>
      <c r="B159" s="186"/>
      <c r="C159" s="186"/>
      <c r="D159" s="186"/>
      <c r="E159" s="186"/>
      <c r="F159" s="186"/>
      <c r="G159" s="186"/>
      <c r="H159" s="186"/>
      <c r="I159" s="186"/>
      <c r="J159" s="186"/>
      <c r="K159" s="186"/>
      <c r="L159" s="186"/>
      <c r="M159" s="186"/>
      <c r="N159" s="186"/>
      <c r="O159" s="186"/>
      <c r="P159" s="186"/>
      <c r="Q159" s="186"/>
      <c r="R159" s="186"/>
      <c r="S159" s="186"/>
      <c r="T159" s="186"/>
      <c r="U159" s="186"/>
      <c r="V159" s="186"/>
      <c r="W159" s="186"/>
      <c r="X159" s="186"/>
      <c r="Y159" s="186"/>
      <c r="Z159" s="186"/>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c r="AW159" s="186"/>
      <c r="AX159" s="186"/>
      <c r="AY159" s="186"/>
      <c r="AZ159" s="186"/>
      <c r="BA159" s="186"/>
      <c r="BB159" s="186"/>
      <c r="BC159" s="186"/>
      <c r="BD159" s="186"/>
      <c r="BE159" s="186"/>
      <c r="BF159" s="186"/>
      <c r="BG159" s="186"/>
      <c r="BH159" s="186"/>
      <c r="BI159" s="186"/>
      <c r="BJ159" s="186"/>
      <c r="BK159" s="186"/>
      <c r="BL159" s="186"/>
      <c r="BM159" s="186"/>
      <c r="BN159" s="186"/>
      <c r="BO159" s="186"/>
      <c r="BP159" s="186"/>
      <c r="BQ159" s="186"/>
      <c r="BR159" s="186"/>
      <c r="BS159" s="186"/>
      <c r="BT159" s="186"/>
      <c r="BU159" s="186"/>
      <c r="BV159" s="186"/>
      <c r="BW159" s="186"/>
      <c r="BX159" s="186"/>
      <c r="BY159" s="186"/>
      <c r="BZ159" s="184"/>
      <c r="CA159" s="184"/>
      <c r="CB159" s="184"/>
      <c r="CC159" s="184"/>
      <c r="CD159" s="184"/>
      <c r="CE159" s="184"/>
      <c r="CF159" s="184"/>
      <c r="CG159" s="184"/>
      <c r="CH159" s="184"/>
      <c r="CI159" s="184"/>
      <c r="CJ159" s="184"/>
      <c r="CK159" s="184"/>
      <c r="CL159" s="184"/>
      <c r="CM159" s="184"/>
      <c r="CN159" s="184"/>
      <c r="CO159" s="184"/>
      <c r="CP159" s="184"/>
      <c r="CQ159" s="184"/>
      <c r="CR159" s="184"/>
      <c r="CS159" s="184"/>
      <c r="CT159" s="184"/>
      <c r="CU159" s="184"/>
      <c r="CV159" s="184"/>
      <c r="CW159" s="184"/>
      <c r="CX159" s="184"/>
      <c r="CY159" s="184"/>
      <c r="CZ159" s="184"/>
      <c r="DA159" s="184"/>
      <c r="DB159" s="184"/>
      <c r="DC159" s="184"/>
      <c r="DD159" s="184"/>
      <c r="DE159" s="184"/>
      <c r="DF159" s="184"/>
      <c r="DG159" s="184"/>
      <c r="DH159" s="184"/>
      <c r="DI159" s="184"/>
      <c r="DJ159" s="184"/>
      <c r="DK159" s="184"/>
      <c r="DL159" s="184"/>
      <c r="DM159" s="184"/>
      <c r="DN159" s="184"/>
      <c r="DO159" s="184"/>
      <c r="DP159" s="184"/>
      <c r="DQ159" s="184"/>
      <c r="DR159" s="184"/>
      <c r="DS159" s="184"/>
      <c r="DT159" s="184"/>
      <c r="DU159" s="184"/>
      <c r="DV159" s="184"/>
      <c r="DW159" s="184"/>
      <c r="DX159" s="184"/>
      <c r="DY159" s="184"/>
      <c r="DZ159" s="184"/>
      <c r="EA159" s="224"/>
    </row>
    <row r="160" spans="1:131" ht="15.95" hidden="1" customHeight="1" x14ac:dyDescent="0.25">
      <c r="A160" s="184"/>
      <c r="B160" s="263" t="s">
        <v>946</v>
      </c>
      <c r="C160" s="186"/>
      <c r="D160" s="186"/>
      <c r="E160" s="186"/>
      <c r="F160" s="186"/>
      <c r="G160" s="186"/>
      <c r="H160" s="186"/>
      <c r="I160" s="186"/>
      <c r="J160" s="186"/>
      <c r="K160" s="186"/>
      <c r="L160" s="186"/>
      <c r="M160" s="186"/>
      <c r="N160" s="186"/>
      <c r="O160" s="186"/>
      <c r="P160" s="186"/>
      <c r="Q160" s="186"/>
      <c r="R160" s="186"/>
      <c r="S160" s="186"/>
      <c r="T160" s="186"/>
      <c r="U160" s="186"/>
      <c r="V160" s="186"/>
      <c r="W160" s="186"/>
      <c r="X160" s="186"/>
      <c r="Y160" s="186"/>
      <c r="Z160" s="186"/>
      <c r="AA160" s="186"/>
      <c r="AB160" s="186"/>
      <c r="AC160" s="186"/>
      <c r="AD160" s="186"/>
      <c r="AE160" s="186"/>
      <c r="AF160" s="186"/>
      <c r="AG160" s="186"/>
      <c r="AH160" s="186"/>
      <c r="AI160" s="186"/>
      <c r="AJ160" s="186"/>
      <c r="AK160" s="186"/>
      <c r="AL160" s="186"/>
      <c r="AM160" s="186"/>
      <c r="AN160" s="186"/>
      <c r="AO160" s="186"/>
      <c r="AP160" s="186"/>
      <c r="AQ160" s="186"/>
      <c r="AR160" s="186"/>
      <c r="AS160" s="186"/>
      <c r="AT160" s="186"/>
      <c r="AU160" s="186"/>
      <c r="AV160" s="186"/>
      <c r="AW160" s="186"/>
      <c r="AX160" s="186"/>
      <c r="AY160" s="186"/>
      <c r="AZ160" s="186"/>
      <c r="BA160" s="186"/>
      <c r="BB160" s="186"/>
      <c r="BC160" s="186"/>
      <c r="BD160" s="186"/>
      <c r="BE160" s="186"/>
      <c r="BF160" s="186"/>
      <c r="BG160" s="186"/>
      <c r="BH160" s="186"/>
      <c r="BI160" s="186"/>
      <c r="BJ160" s="186"/>
      <c r="BK160" s="186"/>
      <c r="BL160" s="186"/>
      <c r="BM160" s="186"/>
      <c r="BN160" s="186"/>
      <c r="BO160" s="186"/>
      <c r="BP160" s="186"/>
      <c r="BQ160" s="186"/>
      <c r="BR160" s="186"/>
      <c r="BS160" s="186"/>
      <c r="BT160" s="186"/>
      <c r="BU160" s="186"/>
      <c r="BV160" s="186"/>
      <c r="BW160" s="186"/>
      <c r="BX160" s="186"/>
      <c r="BY160" s="186"/>
      <c r="BZ160" s="184"/>
      <c r="CA160" s="184"/>
      <c r="CB160" s="184"/>
      <c r="CC160" s="184"/>
      <c r="CD160" s="184"/>
      <c r="CE160" s="184"/>
      <c r="CF160" s="184"/>
      <c r="CG160" s="184"/>
      <c r="CH160" s="184"/>
      <c r="CI160" s="184"/>
      <c r="CJ160" s="184"/>
      <c r="CK160" s="184"/>
      <c r="CL160" s="184"/>
      <c r="CM160" s="184"/>
      <c r="CN160" s="184"/>
      <c r="CO160" s="184"/>
      <c r="CP160" s="184"/>
      <c r="CQ160" s="184"/>
      <c r="CR160" s="184"/>
      <c r="CS160" s="184"/>
      <c r="CT160" s="184"/>
      <c r="CU160" s="184"/>
      <c r="CV160" s="184"/>
      <c r="CW160" s="184"/>
      <c r="CX160" s="184"/>
      <c r="CY160" s="184"/>
      <c r="CZ160" s="184"/>
      <c r="DA160" s="184"/>
      <c r="DB160" s="184"/>
      <c r="DC160" s="184"/>
      <c r="DD160" s="184"/>
      <c r="DE160" s="184"/>
      <c r="DF160" s="184"/>
      <c r="DG160" s="184"/>
      <c r="DH160" s="184"/>
      <c r="DI160" s="184"/>
      <c r="DJ160" s="184"/>
      <c r="DK160" s="184"/>
      <c r="DL160" s="184"/>
      <c r="DM160" s="184"/>
      <c r="DN160" s="184"/>
      <c r="DO160" s="184"/>
      <c r="DP160" s="184"/>
      <c r="DQ160" s="184"/>
      <c r="DR160" s="184"/>
      <c r="DS160" s="184"/>
      <c r="DT160" s="184"/>
      <c r="DU160" s="184"/>
      <c r="DV160" s="184"/>
      <c r="DW160" s="184"/>
      <c r="DX160" s="184"/>
      <c r="DY160" s="184"/>
      <c r="DZ160" s="184"/>
      <c r="EA160" s="224"/>
    </row>
    <row r="161" spans="1:131" ht="20.100000000000001" hidden="1" customHeight="1" x14ac:dyDescent="0.2">
      <c r="A161" s="184"/>
      <c r="B161" s="186"/>
      <c r="C161" s="186"/>
      <c r="D161" s="186"/>
      <c r="E161" s="186"/>
      <c r="F161" s="186"/>
      <c r="G161" s="186"/>
      <c r="H161" s="184"/>
      <c r="I161" s="184"/>
      <c r="J161" s="184"/>
      <c r="K161" s="184"/>
      <c r="L161" s="184"/>
      <c r="M161" s="186"/>
      <c r="N161" s="186"/>
      <c r="O161" s="186"/>
      <c r="P161" s="186"/>
      <c r="Q161" s="186"/>
      <c r="R161" s="186"/>
      <c r="S161" s="186"/>
      <c r="T161" s="186"/>
      <c r="U161" s="186"/>
      <c r="V161" s="186"/>
      <c r="W161" s="186"/>
      <c r="X161" s="186"/>
      <c r="Y161" s="186"/>
      <c r="Z161" s="186"/>
      <c r="AA161" s="186"/>
      <c r="AB161" s="186"/>
      <c r="AC161" s="186"/>
      <c r="AD161" s="186"/>
      <c r="AE161" s="186"/>
      <c r="AF161" s="186"/>
      <c r="AG161" s="186"/>
      <c r="AH161" s="186"/>
      <c r="AI161" s="186"/>
      <c r="AJ161" s="186"/>
      <c r="AK161" s="186"/>
      <c r="AL161" s="186"/>
      <c r="AM161" s="186"/>
      <c r="AN161" s="186"/>
      <c r="AO161" s="186"/>
      <c r="AP161" s="186"/>
      <c r="AQ161" s="186"/>
      <c r="AR161" s="186"/>
      <c r="AS161" s="186"/>
      <c r="AT161" s="186"/>
      <c r="AU161" s="186"/>
      <c r="AV161" s="186"/>
      <c r="AW161" s="186"/>
      <c r="AX161" s="186"/>
      <c r="AY161" s="186"/>
      <c r="AZ161" s="186"/>
      <c r="BA161" s="186"/>
      <c r="BB161" s="186"/>
      <c r="BC161" s="186"/>
      <c r="BD161" s="186"/>
      <c r="BE161" s="186"/>
      <c r="BF161" s="186"/>
      <c r="BG161" s="186"/>
      <c r="BH161" s="186"/>
      <c r="BI161" s="186"/>
      <c r="BJ161" s="186"/>
      <c r="BK161" s="186"/>
      <c r="BL161" s="186"/>
      <c r="BM161" s="186"/>
      <c r="BN161" s="186"/>
      <c r="BO161" s="186"/>
      <c r="BP161" s="186"/>
      <c r="BQ161" s="186"/>
      <c r="BR161" s="186"/>
      <c r="BS161" s="186"/>
      <c r="BT161" s="186"/>
      <c r="BU161" s="186"/>
      <c r="BV161" s="186"/>
      <c r="BW161" s="186"/>
      <c r="BX161" s="186"/>
      <c r="BY161" s="186"/>
      <c r="BZ161" s="184"/>
      <c r="CA161" s="184"/>
      <c r="CB161" s="184"/>
      <c r="CC161" s="184"/>
      <c r="CD161" s="184"/>
      <c r="CE161" s="184"/>
      <c r="CF161" s="184"/>
      <c r="CG161" s="184"/>
      <c r="CH161" s="184"/>
      <c r="CI161" s="184"/>
      <c r="CJ161" s="184"/>
      <c r="CK161" s="184"/>
      <c r="CL161" s="184"/>
      <c r="CM161" s="184"/>
      <c r="CN161" s="184"/>
      <c r="CO161" s="184"/>
      <c r="CP161" s="184"/>
      <c r="CQ161" s="184"/>
      <c r="CR161" s="184"/>
      <c r="CS161" s="184"/>
      <c r="CT161" s="184"/>
      <c r="CU161" s="184"/>
      <c r="CV161" s="184"/>
      <c r="CW161" s="184"/>
      <c r="CX161" s="184"/>
      <c r="CY161" s="184"/>
      <c r="CZ161" s="184"/>
      <c r="DA161" s="184"/>
      <c r="DB161" s="184"/>
      <c r="DC161" s="184"/>
      <c r="DD161" s="184"/>
      <c r="DE161" s="184"/>
      <c r="DF161" s="184"/>
      <c r="DG161" s="184"/>
      <c r="DH161" s="184"/>
      <c r="DI161" s="184"/>
      <c r="DJ161" s="184"/>
      <c r="DK161" s="184"/>
      <c r="DL161" s="184"/>
      <c r="DM161" s="184"/>
      <c r="DN161" s="184"/>
      <c r="DO161" s="184"/>
      <c r="DP161" s="184"/>
      <c r="DQ161" s="184"/>
      <c r="DR161" s="184"/>
      <c r="DS161" s="184"/>
      <c r="DT161" s="184"/>
      <c r="DU161" s="184"/>
      <c r="DV161" s="184"/>
      <c r="DW161" s="184"/>
      <c r="DX161" s="184"/>
      <c r="DY161" s="184"/>
      <c r="DZ161" s="184"/>
      <c r="EA161" s="224"/>
    </row>
    <row r="162" spans="1:131" ht="15.95" hidden="1" customHeight="1" x14ac:dyDescent="0.25">
      <c r="A162" s="184"/>
      <c r="B162" s="263" t="e">
        <f>IF(Daten!E528=1,Daten!A535&amp;" "&amp;UPPER(Daten!A536)&amp;" "&amp;Daten!A537,"")</f>
        <v>#N/A</v>
      </c>
      <c r="C162" s="186"/>
      <c r="D162" s="186"/>
      <c r="E162" s="186"/>
      <c r="F162" s="184"/>
      <c r="G162" s="184"/>
      <c r="H162" s="254"/>
      <c r="I162" s="254"/>
      <c r="J162" s="254"/>
      <c r="K162" s="254"/>
      <c r="L162" s="254"/>
      <c r="M162" s="189"/>
      <c r="N162" s="259"/>
      <c r="O162" s="259"/>
      <c r="P162" s="259"/>
      <c r="Q162" s="259"/>
      <c r="R162" s="259"/>
      <c r="S162" s="259"/>
      <c r="T162" s="259"/>
      <c r="U162" s="259"/>
      <c r="V162" s="259"/>
      <c r="W162" s="259"/>
      <c r="X162" s="259"/>
      <c r="Y162" s="259"/>
      <c r="Z162" s="259"/>
      <c r="AA162" s="259"/>
      <c r="AB162" s="259"/>
      <c r="AC162" s="259"/>
      <c r="AD162" s="259"/>
      <c r="AE162" s="259"/>
      <c r="AF162" s="259"/>
      <c r="AG162" s="259"/>
      <c r="AH162" s="259"/>
      <c r="AI162" s="259"/>
      <c r="AJ162" s="259"/>
      <c r="AK162" s="259"/>
      <c r="AL162" s="259"/>
      <c r="AM162" s="259"/>
      <c r="AN162" s="259"/>
      <c r="AO162" s="259"/>
      <c r="AP162" s="259"/>
      <c r="AQ162" s="259"/>
      <c r="AR162" s="259"/>
      <c r="AS162" s="259"/>
      <c r="AT162" s="259"/>
      <c r="AU162" s="259"/>
      <c r="AV162" s="259"/>
      <c r="AW162" s="259"/>
      <c r="AX162" s="259"/>
      <c r="AY162" s="259"/>
      <c r="AZ162" s="259"/>
      <c r="BA162" s="259"/>
      <c r="BB162" s="259"/>
      <c r="BC162" s="259"/>
      <c r="BD162" s="259"/>
      <c r="BE162" s="259"/>
      <c r="BF162" s="259"/>
      <c r="BG162" s="259"/>
      <c r="BH162" s="259"/>
      <c r="BI162" s="259"/>
      <c r="BJ162" s="259"/>
      <c r="BK162" s="259"/>
      <c r="BL162" s="259"/>
      <c r="BM162" s="259"/>
      <c r="BN162" s="259"/>
      <c r="BO162" s="259"/>
      <c r="BP162" s="259"/>
      <c r="BQ162" s="259"/>
      <c r="BR162" s="259"/>
      <c r="BS162" s="259"/>
      <c r="BT162" s="186"/>
      <c r="BU162" s="186"/>
      <c r="BV162" s="186"/>
      <c r="BW162" s="186"/>
      <c r="BX162" s="186"/>
      <c r="BY162" s="186"/>
      <c r="BZ162" s="184"/>
      <c r="CA162" s="184"/>
      <c r="CB162" s="184"/>
      <c r="CC162" s="184"/>
      <c r="CD162" s="184"/>
      <c r="CE162" s="184"/>
      <c r="CF162" s="184"/>
      <c r="CG162" s="184"/>
      <c r="CH162" s="184"/>
      <c r="CI162" s="184"/>
      <c r="CJ162" s="184"/>
      <c r="CK162" s="184"/>
      <c r="CL162" s="184"/>
      <c r="CM162" s="184"/>
      <c r="CN162" s="184"/>
      <c r="CO162" s="184"/>
      <c r="CP162" s="184"/>
      <c r="CQ162" s="184"/>
      <c r="CR162" s="184"/>
      <c r="CS162" s="184"/>
      <c r="CT162" s="184"/>
      <c r="CU162" s="184"/>
      <c r="CV162" s="184"/>
      <c r="CW162" s="184"/>
      <c r="CX162" s="184"/>
      <c r="CY162" s="184"/>
      <c r="CZ162" s="184"/>
      <c r="DA162" s="184"/>
      <c r="DB162" s="184"/>
      <c r="DC162" s="184"/>
      <c r="DD162" s="184"/>
      <c r="DE162" s="184"/>
      <c r="DF162" s="184"/>
      <c r="DG162" s="184"/>
      <c r="DH162" s="184"/>
      <c r="DI162" s="184"/>
      <c r="DJ162" s="184"/>
      <c r="DK162" s="184"/>
      <c r="DL162" s="184"/>
      <c r="DM162" s="184"/>
      <c r="DN162" s="184"/>
      <c r="DO162" s="184"/>
      <c r="DP162" s="184"/>
      <c r="DQ162" s="184"/>
      <c r="DR162" s="184"/>
      <c r="DS162" s="184"/>
      <c r="DT162" s="184"/>
      <c r="DU162" s="184"/>
      <c r="DV162" s="184"/>
      <c r="DW162" s="184"/>
      <c r="DX162" s="184"/>
      <c r="DY162" s="184"/>
      <c r="DZ162" s="184"/>
      <c r="EA162" s="224"/>
    </row>
    <row r="163" spans="1:131" ht="3.95" hidden="1" customHeight="1" x14ac:dyDescent="0.25">
      <c r="A163" s="184"/>
      <c r="B163" s="263"/>
      <c r="C163" s="186"/>
      <c r="D163" s="186"/>
      <c r="E163" s="186"/>
      <c r="F163" s="184"/>
      <c r="G163" s="184"/>
      <c r="H163" s="254"/>
      <c r="I163" s="254"/>
      <c r="J163" s="254"/>
      <c r="K163" s="254"/>
      <c r="L163" s="254"/>
      <c r="M163" s="189"/>
      <c r="N163" s="259"/>
      <c r="O163" s="259"/>
      <c r="P163" s="259"/>
      <c r="Q163" s="259"/>
      <c r="R163" s="259"/>
      <c r="S163" s="259"/>
      <c r="T163" s="259"/>
      <c r="U163" s="259"/>
      <c r="V163" s="259"/>
      <c r="W163" s="259"/>
      <c r="X163" s="259"/>
      <c r="Y163" s="259"/>
      <c r="Z163" s="259"/>
      <c r="AA163" s="259"/>
      <c r="AB163" s="259"/>
      <c r="AC163" s="259"/>
      <c r="AD163" s="259"/>
      <c r="AE163" s="259"/>
      <c r="AF163" s="259"/>
      <c r="AG163" s="259"/>
      <c r="AH163" s="259"/>
      <c r="AI163" s="259"/>
      <c r="AJ163" s="259"/>
      <c r="AK163" s="259"/>
      <c r="AL163" s="259"/>
      <c r="AM163" s="259"/>
      <c r="AN163" s="259"/>
      <c r="AO163" s="259"/>
      <c r="AP163" s="259"/>
      <c r="AQ163" s="259"/>
      <c r="AR163" s="259"/>
      <c r="AS163" s="259"/>
      <c r="AT163" s="259"/>
      <c r="AU163" s="259"/>
      <c r="AV163" s="259"/>
      <c r="AW163" s="259"/>
      <c r="AX163" s="259"/>
      <c r="AY163" s="259"/>
      <c r="AZ163" s="259"/>
      <c r="BA163" s="259"/>
      <c r="BB163" s="259"/>
      <c r="BC163" s="259"/>
      <c r="BD163" s="259"/>
      <c r="BE163" s="259"/>
      <c r="BF163" s="259"/>
      <c r="BG163" s="259"/>
      <c r="BH163" s="259"/>
      <c r="BI163" s="259"/>
      <c r="BJ163" s="259"/>
      <c r="BK163" s="259"/>
      <c r="BL163" s="259"/>
      <c r="BM163" s="259"/>
      <c r="BN163" s="259"/>
      <c r="BO163" s="259"/>
      <c r="BP163" s="259"/>
      <c r="BQ163" s="259"/>
      <c r="BR163" s="259"/>
      <c r="BS163" s="259"/>
      <c r="BT163" s="186"/>
      <c r="BU163" s="186"/>
      <c r="BV163" s="186"/>
      <c r="BW163" s="186"/>
      <c r="BX163" s="186"/>
      <c r="BY163" s="186"/>
      <c r="BZ163" s="184"/>
      <c r="CA163" s="184"/>
      <c r="CB163" s="184"/>
      <c r="CC163" s="184"/>
      <c r="CD163" s="184"/>
      <c r="CE163" s="184"/>
      <c r="CF163" s="184"/>
      <c r="CG163" s="184"/>
      <c r="CH163" s="184"/>
      <c r="CI163" s="184"/>
      <c r="CJ163" s="184"/>
      <c r="CK163" s="184"/>
      <c r="CL163" s="184"/>
      <c r="CM163" s="184"/>
      <c r="CN163" s="184"/>
      <c r="CO163" s="184"/>
      <c r="CP163" s="184"/>
      <c r="CQ163" s="184"/>
      <c r="CR163" s="184"/>
      <c r="CS163" s="184"/>
      <c r="CT163" s="184"/>
      <c r="CU163" s="184"/>
      <c r="CV163" s="184"/>
      <c r="CW163" s="184"/>
      <c r="CX163" s="184"/>
      <c r="CY163" s="184"/>
      <c r="CZ163" s="184"/>
      <c r="DA163" s="184"/>
      <c r="DB163" s="184"/>
      <c r="DC163" s="184"/>
      <c r="DD163" s="184"/>
      <c r="DE163" s="184"/>
      <c r="DF163" s="184"/>
      <c r="DG163" s="184"/>
      <c r="DH163" s="184"/>
      <c r="DI163" s="184"/>
      <c r="DJ163" s="184"/>
      <c r="DK163" s="184"/>
      <c r="DL163" s="184"/>
      <c r="DM163" s="184"/>
      <c r="DN163" s="184"/>
      <c r="DO163" s="184"/>
      <c r="DP163" s="184"/>
      <c r="DQ163" s="184"/>
      <c r="DR163" s="184"/>
      <c r="DS163" s="184"/>
      <c r="DT163" s="184"/>
      <c r="DU163" s="184"/>
      <c r="DV163" s="184"/>
      <c r="DW163" s="184"/>
      <c r="DX163" s="184"/>
      <c r="DY163" s="184"/>
      <c r="DZ163" s="184"/>
      <c r="EA163" s="224"/>
    </row>
    <row r="164" spans="1:131" ht="15.95" hidden="1" customHeight="1" x14ac:dyDescent="0.25">
      <c r="A164" s="184"/>
      <c r="B164" s="263"/>
      <c r="C164" s="186"/>
      <c r="D164" s="186"/>
      <c r="E164" s="186"/>
      <c r="F164" s="184"/>
      <c r="G164" s="336" t="str">
        <f>IF(Daten!K79&gt;0,TEXT(Daten!G543&amp;Daten!G544&amp;Daten!G545,""),"")</f>
        <v/>
      </c>
      <c r="H164" s="254"/>
      <c r="I164" s="254"/>
      <c r="J164" s="254"/>
      <c r="K164" s="254"/>
      <c r="L164" s="254"/>
      <c r="M164" s="189"/>
      <c r="N164" s="259"/>
      <c r="O164" s="259"/>
      <c r="P164" s="259"/>
      <c r="Q164" s="259"/>
      <c r="R164" s="259"/>
      <c r="S164" s="259"/>
      <c r="T164" s="259"/>
      <c r="U164" s="259"/>
      <c r="V164" s="259"/>
      <c r="W164" s="259"/>
      <c r="X164" s="259"/>
      <c r="Y164" s="259"/>
      <c r="Z164" s="259"/>
      <c r="AA164" s="259"/>
      <c r="AB164" s="259"/>
      <c r="AC164" s="259"/>
      <c r="AD164" s="259"/>
      <c r="AE164" s="259"/>
      <c r="AF164" s="259"/>
      <c r="AG164" s="259"/>
      <c r="AH164" s="259"/>
      <c r="AI164" s="259"/>
      <c r="AJ164" s="259"/>
      <c r="AK164" s="259"/>
      <c r="AL164" s="259"/>
      <c r="AM164" s="259"/>
      <c r="AN164" s="259"/>
      <c r="AO164" s="259"/>
      <c r="AP164" s="259"/>
      <c r="AQ164" s="259"/>
      <c r="AR164" s="259"/>
      <c r="AS164" s="259"/>
      <c r="AT164" s="259"/>
      <c r="AU164" s="259"/>
      <c r="AV164" s="259"/>
      <c r="AW164" s="259"/>
      <c r="AX164" s="259"/>
      <c r="AY164" s="259"/>
      <c r="AZ164" s="259"/>
      <c r="BA164" s="259"/>
      <c r="BB164" s="259"/>
      <c r="BC164" s="259"/>
      <c r="BD164" s="259"/>
      <c r="BE164" s="259"/>
      <c r="BF164" s="259"/>
      <c r="BG164" s="259"/>
      <c r="BH164" s="259"/>
      <c r="BI164" s="259"/>
      <c r="BJ164" s="259"/>
      <c r="BK164" s="259"/>
      <c r="BL164" s="259"/>
      <c r="BM164" s="259"/>
      <c r="BN164" s="259"/>
      <c r="BO164" s="259"/>
      <c r="BP164" s="259"/>
      <c r="BQ164" s="259"/>
      <c r="BR164" s="259"/>
      <c r="BS164" s="259"/>
      <c r="BT164" s="186"/>
      <c r="BU164" s="186"/>
      <c r="BV164" s="186"/>
      <c r="BW164" s="186"/>
      <c r="BX164" s="186"/>
      <c r="BY164" s="186"/>
      <c r="BZ164" s="184"/>
      <c r="CA164" s="184"/>
      <c r="CB164" s="184"/>
      <c r="CC164" s="184"/>
      <c r="CD164" s="184"/>
      <c r="CE164" s="184"/>
      <c r="CF164" s="184"/>
      <c r="CG164" s="184"/>
      <c r="CH164" s="184"/>
      <c r="CI164" s="184"/>
      <c r="CJ164" s="184"/>
      <c r="CK164" s="184"/>
      <c r="CL164" s="184"/>
      <c r="CM164" s="184"/>
      <c r="CN164" s="184"/>
      <c r="CO164" s="184"/>
      <c r="CP164" s="184"/>
      <c r="CQ164" s="184"/>
      <c r="CR164" s="184"/>
      <c r="CS164" s="184"/>
      <c r="CT164" s="184"/>
      <c r="CU164" s="184"/>
      <c r="CV164" s="184"/>
      <c r="CW164" s="184"/>
      <c r="CX164" s="184"/>
      <c r="CY164" s="184"/>
      <c r="CZ164" s="184"/>
      <c r="DA164" s="184"/>
      <c r="DB164" s="184"/>
      <c r="DC164" s="184"/>
      <c r="DD164" s="184"/>
      <c r="DE164" s="184"/>
      <c r="DF164" s="184"/>
      <c r="DG164" s="184"/>
      <c r="DH164" s="184"/>
      <c r="DI164" s="184"/>
      <c r="DJ164" s="184"/>
      <c r="DK164" s="184"/>
      <c r="DL164" s="184"/>
      <c r="DM164" s="184"/>
      <c r="DN164" s="184"/>
      <c r="DO164" s="184"/>
      <c r="DP164" s="184"/>
      <c r="DQ164" s="184"/>
      <c r="DR164" s="184"/>
      <c r="DS164" s="184"/>
      <c r="DT164" s="184"/>
      <c r="DU164" s="184"/>
      <c r="DV164" s="184"/>
      <c r="DW164" s="184"/>
      <c r="DX164" s="184"/>
      <c r="DY164" s="184"/>
      <c r="DZ164" s="184"/>
      <c r="EA164" s="224"/>
    </row>
    <row r="165" spans="1:131" ht="3.95" hidden="1" customHeight="1" x14ac:dyDescent="0.25">
      <c r="A165" s="184"/>
      <c r="B165" s="263"/>
      <c r="C165" s="186"/>
      <c r="D165" s="186"/>
      <c r="E165" s="186"/>
      <c r="F165" s="184"/>
      <c r="G165" s="184"/>
      <c r="H165" s="254"/>
      <c r="I165" s="254"/>
      <c r="J165" s="254"/>
      <c r="K165" s="254"/>
      <c r="L165" s="254"/>
      <c r="M165" s="18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c r="AS165" s="259"/>
      <c r="AT165" s="259"/>
      <c r="AU165" s="259"/>
      <c r="AV165" s="259"/>
      <c r="AW165" s="259"/>
      <c r="AX165" s="259"/>
      <c r="AY165" s="259"/>
      <c r="AZ165" s="259"/>
      <c r="BA165" s="259"/>
      <c r="BB165" s="259"/>
      <c r="BC165" s="259"/>
      <c r="BD165" s="259"/>
      <c r="BE165" s="259"/>
      <c r="BF165" s="259"/>
      <c r="BG165" s="259"/>
      <c r="BH165" s="259"/>
      <c r="BI165" s="259"/>
      <c r="BJ165" s="259"/>
      <c r="BK165" s="259"/>
      <c r="BL165" s="259"/>
      <c r="BM165" s="259"/>
      <c r="BN165" s="259"/>
      <c r="BO165" s="259"/>
      <c r="BP165" s="259"/>
      <c r="BQ165" s="259"/>
      <c r="BR165" s="259"/>
      <c r="BS165" s="259"/>
      <c r="BT165" s="186"/>
      <c r="BU165" s="186"/>
      <c r="BV165" s="186"/>
      <c r="BW165" s="186"/>
      <c r="BX165" s="186"/>
      <c r="BY165" s="186"/>
      <c r="BZ165" s="184"/>
      <c r="CA165" s="184"/>
      <c r="CB165" s="184"/>
      <c r="CC165" s="184"/>
      <c r="CD165" s="184"/>
      <c r="CE165" s="184"/>
      <c r="CF165" s="184"/>
      <c r="CG165" s="184"/>
      <c r="CH165" s="184"/>
      <c r="CI165" s="184"/>
      <c r="CJ165" s="184"/>
      <c r="CK165" s="184"/>
      <c r="CL165" s="184"/>
      <c r="CM165" s="184"/>
      <c r="CN165" s="184"/>
      <c r="CO165" s="184"/>
      <c r="CP165" s="184"/>
      <c r="CQ165" s="184"/>
      <c r="CR165" s="184"/>
      <c r="CS165" s="184"/>
      <c r="CT165" s="184"/>
      <c r="CU165" s="184"/>
      <c r="CV165" s="184"/>
      <c r="CW165" s="184"/>
      <c r="CX165" s="184"/>
      <c r="CY165" s="184"/>
      <c r="CZ165" s="184"/>
      <c r="DA165" s="184"/>
      <c r="DB165" s="184"/>
      <c r="DC165" s="184"/>
      <c r="DD165" s="184"/>
      <c r="DE165" s="184"/>
      <c r="DF165" s="184"/>
      <c r="DG165" s="184"/>
      <c r="DH165" s="184"/>
      <c r="DI165" s="184"/>
      <c r="DJ165" s="184"/>
      <c r="DK165" s="184"/>
      <c r="DL165" s="184"/>
      <c r="DM165" s="184"/>
      <c r="DN165" s="184"/>
      <c r="DO165" s="184"/>
      <c r="DP165" s="184"/>
      <c r="DQ165" s="184"/>
      <c r="DR165" s="184"/>
      <c r="DS165" s="184"/>
      <c r="DT165" s="184"/>
      <c r="DU165" s="184"/>
      <c r="DV165" s="184"/>
      <c r="DW165" s="184"/>
      <c r="DX165" s="184"/>
      <c r="DY165" s="184"/>
      <c r="DZ165" s="184"/>
      <c r="EA165" s="224"/>
    </row>
    <row r="166" spans="1:131" ht="2.1" hidden="1" customHeight="1" x14ac:dyDescent="0.2">
      <c r="A166" s="184"/>
      <c r="B166" s="186"/>
      <c r="C166" s="186"/>
      <c r="D166" s="186"/>
      <c r="E166" s="186"/>
      <c r="F166" s="260"/>
      <c r="G166" s="327"/>
      <c r="H166" s="328"/>
      <c r="I166" s="328"/>
      <c r="J166" s="328"/>
      <c r="K166" s="329"/>
      <c r="L166" s="330"/>
      <c r="M166" s="331"/>
      <c r="N166" s="329"/>
      <c r="O166" s="329"/>
      <c r="P166" s="332"/>
      <c r="Q166" s="332"/>
      <c r="R166" s="332"/>
      <c r="S166" s="332"/>
      <c r="T166" s="332"/>
      <c r="U166" s="332"/>
      <c r="V166" s="332"/>
      <c r="W166" s="332"/>
      <c r="X166" s="329"/>
      <c r="Y166" s="332"/>
      <c r="Z166" s="332"/>
      <c r="AA166" s="332"/>
      <c r="AB166" s="332"/>
      <c r="AC166" s="332"/>
      <c r="AD166" s="332"/>
      <c r="AE166" s="332"/>
      <c r="AF166" s="332"/>
      <c r="AG166" s="333"/>
      <c r="AH166" s="186"/>
      <c r="AI166" s="186"/>
      <c r="AJ166" s="186"/>
      <c r="AK166" s="334"/>
      <c r="AL166" s="332"/>
      <c r="AM166" s="332"/>
      <c r="AN166" s="332"/>
      <c r="AO166" s="332"/>
      <c r="AP166" s="332"/>
      <c r="AQ166" s="332"/>
      <c r="AR166" s="332"/>
      <c r="AS166" s="332"/>
      <c r="AT166" s="332"/>
      <c r="AU166" s="332"/>
      <c r="AV166" s="332"/>
      <c r="AW166" s="332"/>
      <c r="AX166" s="332"/>
      <c r="AY166" s="332"/>
      <c r="AZ166" s="332"/>
      <c r="BA166" s="332"/>
      <c r="BB166" s="332"/>
      <c r="BC166" s="332"/>
      <c r="BD166" s="332"/>
      <c r="BE166" s="332"/>
      <c r="BF166" s="332"/>
      <c r="BG166" s="332"/>
      <c r="BH166" s="332"/>
      <c r="BI166" s="332"/>
      <c r="BJ166" s="332"/>
      <c r="BK166" s="333"/>
      <c r="BL166" s="184"/>
      <c r="BM166" s="184"/>
      <c r="BN166" s="184"/>
      <c r="BO166" s="184"/>
      <c r="BP166" s="184"/>
      <c r="BQ166" s="184"/>
      <c r="BR166" s="184"/>
      <c r="BS166" s="186"/>
      <c r="BT166" s="186"/>
      <c r="BU166" s="186"/>
      <c r="BV166" s="186"/>
      <c r="BW166" s="186"/>
      <c r="BX166" s="186"/>
      <c r="BY166" s="186"/>
      <c r="BZ166" s="184"/>
      <c r="CA166" s="184"/>
      <c r="CB166" s="184"/>
      <c r="CC166" s="184"/>
      <c r="CD166" s="184"/>
      <c r="CE166" s="184"/>
      <c r="CF166" s="184"/>
      <c r="CG166" s="184"/>
      <c r="CH166" s="184"/>
      <c r="CI166" s="184"/>
      <c r="CJ166" s="184"/>
      <c r="CK166" s="184"/>
      <c r="CL166" s="184"/>
      <c r="CM166" s="184"/>
      <c r="CN166" s="184"/>
      <c r="CO166" s="184"/>
      <c r="CP166" s="184"/>
      <c r="CQ166" s="184"/>
      <c r="CR166" s="184"/>
      <c r="CS166" s="184"/>
      <c r="CT166" s="184"/>
      <c r="CU166" s="184"/>
      <c r="CV166" s="184"/>
      <c r="CW166" s="184"/>
      <c r="CX166" s="184"/>
      <c r="CY166" s="184"/>
      <c r="CZ166" s="184"/>
      <c r="DA166" s="184"/>
      <c r="DB166" s="184"/>
      <c r="DC166" s="184"/>
      <c r="DD166" s="184"/>
      <c r="DE166" s="184"/>
      <c r="DF166" s="184"/>
      <c r="DG166" s="184"/>
      <c r="DH166" s="184"/>
      <c r="DI166" s="184"/>
      <c r="DJ166" s="184"/>
      <c r="DK166" s="184"/>
      <c r="DL166" s="184"/>
      <c r="DM166" s="184"/>
      <c r="DN166" s="184"/>
      <c r="DO166" s="184"/>
      <c r="DP166" s="184"/>
      <c r="DQ166" s="184"/>
      <c r="DR166" s="184"/>
      <c r="DS166" s="184"/>
      <c r="DT166" s="184"/>
      <c r="DU166" s="184"/>
      <c r="DV166" s="184"/>
      <c r="DW166" s="184"/>
      <c r="DX166" s="184"/>
      <c r="DY166" s="184"/>
      <c r="DZ166" s="184"/>
      <c r="EA166" s="224"/>
    </row>
    <row r="167" spans="1:131" ht="15.95" hidden="1" customHeight="1" x14ac:dyDescent="0.2">
      <c r="A167" s="184"/>
      <c r="B167" s="184"/>
      <c r="C167" s="184"/>
      <c r="D167" s="184"/>
      <c r="E167" s="184"/>
      <c r="F167" s="184"/>
      <c r="G167" s="320"/>
      <c r="H167" s="297"/>
      <c r="I167" s="300" t="str">
        <f>Daten!G535</f>
        <v>comp.ASS-LSB "Miete"</v>
      </c>
      <c r="J167" s="299"/>
      <c r="K167" s="299"/>
      <c r="L167" s="297"/>
      <c r="M167" s="297"/>
      <c r="N167" s="297"/>
      <c r="O167" s="297"/>
      <c r="P167" s="297"/>
      <c r="Q167" s="301"/>
      <c r="R167" s="301"/>
      <c r="S167" s="301"/>
      <c r="T167" s="301"/>
      <c r="U167" s="301"/>
      <c r="V167" s="301"/>
      <c r="W167" s="301"/>
      <c r="X167" s="301"/>
      <c r="Y167" s="301"/>
      <c r="Z167" s="302"/>
      <c r="AA167" s="302"/>
      <c r="AB167" s="302"/>
      <c r="AC167" s="302"/>
      <c r="AD167" s="302"/>
      <c r="AE167" s="302"/>
      <c r="AF167" s="297"/>
      <c r="AG167" s="321"/>
      <c r="AH167" s="184"/>
      <c r="AI167" s="184"/>
      <c r="AJ167" s="184"/>
      <c r="AK167" s="320"/>
      <c r="AL167" s="297"/>
      <c r="AM167" s="302" t="str">
        <f>Daten!G537</f>
        <v>comp.ASS-LSB "Heizkosten"</v>
      </c>
      <c r="AN167" s="302"/>
      <c r="AO167" s="302"/>
      <c r="AP167" s="302"/>
      <c r="AQ167" s="302"/>
      <c r="AR167" s="302"/>
      <c r="AS167" s="302"/>
      <c r="AT167" s="302"/>
      <c r="AU167" s="302"/>
      <c r="AV167" s="302"/>
      <c r="AW167" s="302"/>
      <c r="AX167" s="302"/>
      <c r="AY167" s="302"/>
      <c r="AZ167" s="302"/>
      <c r="BA167" s="302"/>
      <c r="BB167" s="302"/>
      <c r="BC167" s="302"/>
      <c r="BD167" s="302"/>
      <c r="BE167" s="302"/>
      <c r="BF167" s="302"/>
      <c r="BG167" s="302"/>
      <c r="BH167" s="302"/>
      <c r="BI167" s="302"/>
      <c r="BJ167" s="297"/>
      <c r="BK167" s="321"/>
      <c r="BL167" s="184"/>
      <c r="BM167" s="184"/>
      <c r="BN167" s="184"/>
      <c r="BO167" s="184"/>
      <c r="BP167" s="184"/>
      <c r="BQ167" s="184"/>
      <c r="BR167" s="184"/>
      <c r="BS167" s="184"/>
      <c r="BT167" s="184"/>
      <c r="BU167" s="184"/>
      <c r="BV167" s="184"/>
      <c r="BW167" s="184"/>
      <c r="BX167" s="184"/>
      <c r="BY167" s="184"/>
      <c r="BZ167" s="184"/>
      <c r="CA167" s="184"/>
      <c r="CB167" s="184"/>
      <c r="CC167" s="184"/>
      <c r="CD167" s="184"/>
      <c r="CE167" s="184"/>
      <c r="CF167" s="184"/>
      <c r="CG167" s="184"/>
      <c r="CH167" s="184"/>
      <c r="CI167" s="184"/>
      <c r="CJ167" s="184"/>
      <c r="CK167" s="184"/>
      <c r="CL167" s="184"/>
      <c r="CM167" s="184"/>
      <c r="CN167" s="184"/>
      <c r="CO167" s="184"/>
      <c r="CP167" s="184"/>
      <c r="CQ167" s="184"/>
      <c r="CR167" s="184"/>
      <c r="CS167" s="184"/>
      <c r="CT167" s="184"/>
      <c r="CU167" s="184"/>
      <c r="CV167" s="184"/>
      <c r="CW167" s="184"/>
      <c r="CX167" s="184"/>
      <c r="CY167" s="184"/>
      <c r="CZ167" s="184"/>
      <c r="DA167" s="184"/>
      <c r="DB167" s="184"/>
      <c r="DC167" s="184"/>
      <c r="DD167" s="184"/>
      <c r="DE167" s="184"/>
      <c r="DF167" s="184"/>
      <c r="DG167" s="184"/>
      <c r="DH167" s="184"/>
      <c r="DI167" s="184"/>
      <c r="DJ167" s="184"/>
      <c r="DK167" s="184"/>
      <c r="DL167" s="184"/>
      <c r="DM167" s="184"/>
      <c r="DN167" s="184"/>
      <c r="DO167" s="184"/>
      <c r="DP167" s="184"/>
      <c r="DQ167" s="184"/>
      <c r="DR167" s="184"/>
      <c r="DS167" s="184"/>
      <c r="DT167" s="184"/>
      <c r="DU167" s="184"/>
      <c r="DV167" s="184"/>
      <c r="DW167" s="184"/>
      <c r="DX167" s="184"/>
      <c r="DY167" s="184"/>
      <c r="DZ167" s="184"/>
      <c r="EA167" s="224"/>
    </row>
    <row r="168" spans="1:131" ht="6.95" hidden="1" customHeight="1" x14ac:dyDescent="0.2">
      <c r="A168" s="184"/>
      <c r="B168" s="184"/>
      <c r="C168" s="184"/>
      <c r="D168" s="184"/>
      <c r="E168" s="184"/>
      <c r="F168" s="184"/>
      <c r="G168" s="320"/>
      <c r="H168" s="297"/>
      <c r="I168" s="299"/>
      <c r="J168" s="299"/>
      <c r="K168" s="299"/>
      <c r="L168" s="297"/>
      <c r="M168" s="297"/>
      <c r="N168" s="297"/>
      <c r="O168" s="297"/>
      <c r="P168" s="297"/>
      <c r="Q168" s="299"/>
      <c r="R168" s="299"/>
      <c r="S168" s="299"/>
      <c r="T168" s="299"/>
      <c r="U168" s="299"/>
      <c r="V168" s="299"/>
      <c r="W168" s="299"/>
      <c r="X168" s="299"/>
      <c r="Y168" s="299"/>
      <c r="Z168" s="299"/>
      <c r="AA168" s="299"/>
      <c r="AB168" s="299"/>
      <c r="AC168" s="299"/>
      <c r="AD168" s="299"/>
      <c r="AE168" s="299"/>
      <c r="AF168" s="297"/>
      <c r="AG168" s="321"/>
      <c r="AH168" s="184"/>
      <c r="AI168" s="184"/>
      <c r="AJ168" s="184"/>
      <c r="AK168" s="320"/>
      <c r="AL168" s="297"/>
      <c r="AM168" s="299"/>
      <c r="AN168" s="299"/>
      <c r="AO168" s="299"/>
      <c r="AP168" s="299"/>
      <c r="AQ168" s="299"/>
      <c r="AR168" s="299"/>
      <c r="AS168" s="299"/>
      <c r="AT168" s="299"/>
      <c r="AU168" s="299"/>
      <c r="AV168" s="299"/>
      <c r="AW168" s="299"/>
      <c r="AX168" s="299"/>
      <c r="AY168" s="299"/>
      <c r="AZ168" s="299"/>
      <c r="BA168" s="299"/>
      <c r="BB168" s="299"/>
      <c r="BC168" s="299"/>
      <c r="BD168" s="299"/>
      <c r="BE168" s="299"/>
      <c r="BF168" s="299"/>
      <c r="BG168" s="299"/>
      <c r="BH168" s="299"/>
      <c r="BI168" s="299"/>
      <c r="BJ168" s="297"/>
      <c r="BK168" s="321"/>
      <c r="BL168" s="184"/>
      <c r="BM168" s="184"/>
      <c r="BN168" s="184"/>
      <c r="BO168" s="184"/>
      <c r="BP168" s="184"/>
      <c r="BQ168" s="184"/>
      <c r="BR168" s="184"/>
      <c r="BS168" s="184"/>
      <c r="BT168" s="184"/>
      <c r="BU168" s="184"/>
      <c r="BV168" s="184"/>
      <c r="BW168" s="184"/>
      <c r="BX168" s="184"/>
      <c r="BY168" s="184"/>
      <c r="BZ168" s="184"/>
      <c r="CA168" s="184"/>
      <c r="CB168" s="184"/>
      <c r="CC168" s="184"/>
      <c r="CD168" s="184"/>
      <c r="CE168" s="184"/>
      <c r="CF168" s="184"/>
      <c r="CG168" s="184"/>
      <c r="CH168" s="184"/>
      <c r="CI168" s="184"/>
      <c r="CJ168" s="184"/>
      <c r="CK168" s="184"/>
      <c r="CL168" s="184"/>
      <c r="CM168" s="184"/>
      <c r="CN168" s="184"/>
      <c r="CO168" s="184"/>
      <c r="CP168" s="184"/>
      <c r="CQ168" s="184"/>
      <c r="CR168" s="184"/>
      <c r="CS168" s="184"/>
      <c r="CT168" s="184"/>
      <c r="CU168" s="184"/>
      <c r="CV168" s="184"/>
      <c r="CW168" s="184"/>
      <c r="CX168" s="184"/>
      <c r="CY168" s="184"/>
      <c r="CZ168" s="184"/>
      <c r="DA168" s="184"/>
      <c r="DB168" s="184"/>
      <c r="DC168" s="184"/>
      <c r="DD168" s="184"/>
      <c r="DE168" s="184"/>
      <c r="DF168" s="184"/>
      <c r="DG168" s="184"/>
      <c r="DH168" s="184"/>
      <c r="DI168" s="184"/>
      <c r="DJ168" s="184"/>
      <c r="DK168" s="184"/>
      <c r="DL168" s="184"/>
      <c r="DM168" s="184"/>
      <c r="DN168" s="184"/>
      <c r="DO168" s="184"/>
      <c r="DP168" s="184"/>
      <c r="DQ168" s="184"/>
      <c r="DR168" s="184"/>
      <c r="DS168" s="184"/>
      <c r="DT168" s="184"/>
      <c r="DU168" s="184"/>
      <c r="DV168" s="184"/>
      <c r="DW168" s="184"/>
      <c r="DX168" s="184"/>
      <c r="DY168" s="184"/>
      <c r="DZ168" s="184"/>
      <c r="EA168" s="224"/>
    </row>
    <row r="169" spans="1:131" ht="15.95" hidden="1" customHeight="1" x14ac:dyDescent="0.2">
      <c r="A169" s="184"/>
      <c r="B169" s="184"/>
      <c r="C169" s="184"/>
      <c r="D169" s="184"/>
      <c r="E169" s="184"/>
      <c r="F169" s="184"/>
      <c r="G169" s="320"/>
      <c r="H169" s="297"/>
      <c r="I169" s="299" t="str">
        <f>Daten!G540</f>
        <v>Tats./Nachr. Betrag:</v>
      </c>
      <c r="J169" s="299"/>
      <c r="K169" s="299"/>
      <c r="L169" s="297"/>
      <c r="M169" s="297"/>
      <c r="N169" s="297"/>
      <c r="O169" s="303"/>
      <c r="P169" s="297"/>
      <c r="Q169" s="299"/>
      <c r="R169" s="299"/>
      <c r="S169" s="299"/>
      <c r="T169" s="299"/>
      <c r="U169" s="297"/>
      <c r="V169" s="297"/>
      <c r="W169" s="297"/>
      <c r="X169" s="297"/>
      <c r="Y169" s="647">
        <f>Daten!Q566</f>
        <v>0</v>
      </c>
      <c r="Z169" s="647"/>
      <c r="AA169" s="647"/>
      <c r="AB169" s="647"/>
      <c r="AC169" s="647"/>
      <c r="AD169" s="647"/>
      <c r="AE169" s="647"/>
      <c r="AF169" s="297"/>
      <c r="AG169" s="321"/>
      <c r="AH169" s="184"/>
      <c r="AI169" s="184"/>
      <c r="AJ169" s="184"/>
      <c r="AK169" s="320"/>
      <c r="AL169" s="297"/>
      <c r="AM169" s="299" t="str">
        <f>Daten!G540</f>
        <v>Tats./Nachr. Betrag:</v>
      </c>
      <c r="AN169" s="299"/>
      <c r="AO169" s="299"/>
      <c r="AP169" s="299"/>
      <c r="AQ169" s="299"/>
      <c r="AR169" s="299"/>
      <c r="AS169" s="299"/>
      <c r="AT169" s="299"/>
      <c r="AU169" s="299"/>
      <c r="AV169" s="299"/>
      <c r="AW169" s="299"/>
      <c r="AX169" s="299"/>
      <c r="AY169" s="299"/>
      <c r="AZ169" s="299"/>
      <c r="BA169" s="299"/>
      <c r="BB169" s="299"/>
      <c r="BC169" s="645">
        <f>Daten!Q568</f>
        <v>0</v>
      </c>
      <c r="BD169" s="645"/>
      <c r="BE169" s="645"/>
      <c r="BF169" s="645"/>
      <c r="BG169" s="645"/>
      <c r="BH169" s="645"/>
      <c r="BI169" s="645"/>
      <c r="BJ169" s="297"/>
      <c r="BK169" s="321"/>
      <c r="BL169" s="184"/>
      <c r="BM169" s="184"/>
      <c r="BN169" s="184"/>
      <c r="BO169" s="184"/>
      <c r="BP169" s="184"/>
      <c r="BQ169" s="184"/>
      <c r="BR169" s="184"/>
      <c r="BS169" s="184"/>
      <c r="BT169" s="184"/>
      <c r="BU169" s="184"/>
      <c r="BV169" s="184"/>
      <c r="BW169" s="184"/>
      <c r="BX169" s="184"/>
      <c r="BY169" s="184"/>
      <c r="BZ169" s="184"/>
      <c r="CA169" s="184"/>
      <c r="CB169" s="184"/>
      <c r="CC169" s="184"/>
      <c r="CD169" s="184"/>
      <c r="CE169" s="184"/>
      <c r="CF169" s="184"/>
      <c r="CG169" s="184"/>
      <c r="CH169" s="184"/>
      <c r="CI169" s="184"/>
      <c r="CJ169" s="184"/>
      <c r="CK169" s="184"/>
      <c r="CL169" s="184"/>
      <c r="CM169" s="184"/>
      <c r="CN169" s="184"/>
      <c r="CO169" s="184"/>
      <c r="CP169" s="184"/>
      <c r="CQ169" s="184"/>
      <c r="CR169" s="184"/>
      <c r="CS169" s="184"/>
      <c r="CT169" s="184"/>
      <c r="CU169" s="184"/>
      <c r="CV169" s="184"/>
      <c r="CW169" s="184"/>
      <c r="CX169" s="184"/>
      <c r="CY169" s="184"/>
      <c r="CZ169" s="184"/>
      <c r="DA169" s="184"/>
      <c r="DB169" s="184"/>
      <c r="DC169" s="184"/>
      <c r="DD169" s="184"/>
      <c r="DE169" s="184"/>
      <c r="DF169" s="184"/>
      <c r="DG169" s="184"/>
      <c r="DH169" s="184"/>
      <c r="DI169" s="184"/>
      <c r="DJ169" s="184"/>
      <c r="DK169" s="184"/>
      <c r="DL169" s="184"/>
      <c r="DM169" s="184"/>
      <c r="DN169" s="184"/>
      <c r="DO169" s="184"/>
      <c r="DP169" s="184"/>
      <c r="DQ169" s="184"/>
      <c r="DR169" s="184"/>
      <c r="DS169" s="184"/>
      <c r="DT169" s="184"/>
      <c r="DU169" s="184"/>
      <c r="DV169" s="184"/>
      <c r="DW169" s="184"/>
      <c r="DX169" s="184"/>
      <c r="DY169" s="184"/>
      <c r="DZ169" s="184"/>
      <c r="EA169" s="224"/>
    </row>
    <row r="170" spans="1:131" ht="6.95" hidden="1" customHeight="1" x14ac:dyDescent="0.2">
      <c r="A170" s="184"/>
      <c r="B170" s="184"/>
      <c r="C170" s="184"/>
      <c r="D170" s="184"/>
      <c r="E170" s="184"/>
      <c r="F170" s="184"/>
      <c r="G170" s="320"/>
      <c r="H170" s="297"/>
      <c r="I170" s="299"/>
      <c r="J170" s="299"/>
      <c r="K170" s="299"/>
      <c r="L170" s="299"/>
      <c r="M170" s="299"/>
      <c r="N170" s="299"/>
      <c r="O170" s="297"/>
      <c r="P170" s="299"/>
      <c r="Q170" s="299"/>
      <c r="R170" s="299"/>
      <c r="S170" s="299"/>
      <c r="T170" s="299"/>
      <c r="U170" s="298"/>
      <c r="V170" s="297"/>
      <c r="W170" s="297"/>
      <c r="X170" s="297"/>
      <c r="Y170" s="297"/>
      <c r="Z170" s="297"/>
      <c r="AA170" s="297"/>
      <c r="AB170" s="297"/>
      <c r="AC170" s="297"/>
      <c r="AD170" s="297"/>
      <c r="AE170" s="297"/>
      <c r="AF170" s="297"/>
      <c r="AG170" s="321"/>
      <c r="AH170" s="184"/>
      <c r="AI170" s="184"/>
      <c r="AJ170" s="184"/>
      <c r="AK170" s="320"/>
      <c r="AL170" s="297"/>
      <c r="AM170" s="299"/>
      <c r="AN170" s="299"/>
      <c r="AO170" s="299"/>
      <c r="AP170" s="299"/>
      <c r="AQ170" s="299"/>
      <c r="AR170" s="299"/>
      <c r="AS170" s="299"/>
      <c r="AT170" s="299"/>
      <c r="AU170" s="299"/>
      <c r="AV170" s="299"/>
      <c r="AW170" s="299"/>
      <c r="AX170" s="299"/>
      <c r="AY170" s="299"/>
      <c r="AZ170" s="299"/>
      <c r="BA170" s="299"/>
      <c r="BB170" s="299"/>
      <c r="BC170" s="299"/>
      <c r="BD170" s="299"/>
      <c r="BE170" s="299"/>
      <c r="BF170" s="299"/>
      <c r="BG170" s="299"/>
      <c r="BH170" s="299"/>
      <c r="BI170" s="299"/>
      <c r="BJ170" s="297"/>
      <c r="BK170" s="321"/>
      <c r="BL170" s="184"/>
      <c r="BM170" s="184"/>
      <c r="BN170" s="184"/>
      <c r="BO170" s="184"/>
      <c r="BP170" s="184"/>
      <c r="BQ170" s="184"/>
      <c r="BR170" s="184"/>
      <c r="BS170" s="184"/>
      <c r="BT170" s="184"/>
      <c r="BU170" s="184"/>
      <c r="BV170" s="184"/>
      <c r="BW170" s="184"/>
      <c r="BX170" s="184"/>
      <c r="BY170" s="184"/>
      <c r="BZ170" s="184"/>
      <c r="CA170" s="184"/>
      <c r="CB170" s="184"/>
      <c r="CC170" s="184"/>
      <c r="CD170" s="184"/>
      <c r="CE170" s="184"/>
      <c r="CF170" s="184"/>
      <c r="CG170" s="184"/>
      <c r="CH170" s="184"/>
      <c r="CI170" s="184"/>
      <c r="CJ170" s="184"/>
      <c r="CK170" s="184"/>
      <c r="CL170" s="184"/>
      <c r="CM170" s="184"/>
      <c r="CN170" s="184"/>
      <c r="CO170" s="184"/>
      <c r="CP170" s="184"/>
      <c r="CQ170" s="184"/>
      <c r="CR170" s="184"/>
      <c r="CS170" s="184"/>
      <c r="CT170" s="184"/>
      <c r="CU170" s="184"/>
      <c r="CV170" s="184"/>
      <c r="CW170" s="184"/>
      <c r="CX170" s="184"/>
      <c r="CY170" s="184"/>
      <c r="CZ170" s="184"/>
      <c r="DA170" s="184"/>
      <c r="DB170" s="184"/>
      <c r="DC170" s="184"/>
      <c r="DD170" s="184"/>
      <c r="DE170" s="184"/>
      <c r="DF170" s="184"/>
      <c r="DG170" s="184"/>
      <c r="DH170" s="184"/>
      <c r="DI170" s="184"/>
      <c r="DJ170" s="184"/>
      <c r="DK170" s="184"/>
      <c r="DL170" s="184"/>
      <c r="DM170" s="184"/>
      <c r="DN170" s="184"/>
      <c r="DO170" s="184"/>
      <c r="DP170" s="184"/>
      <c r="DQ170" s="184"/>
      <c r="DR170" s="184"/>
      <c r="DS170" s="184"/>
      <c r="DT170" s="184"/>
      <c r="DU170" s="184"/>
      <c r="DV170" s="184"/>
      <c r="DW170" s="184"/>
      <c r="DX170" s="184"/>
      <c r="DY170" s="184"/>
      <c r="DZ170" s="184"/>
      <c r="EA170" s="224"/>
    </row>
    <row r="171" spans="1:131" ht="15.95" hidden="1" customHeight="1" x14ac:dyDescent="0.2">
      <c r="A171" s="184"/>
      <c r="B171" s="184"/>
      <c r="C171" s="184"/>
      <c r="D171" s="184"/>
      <c r="E171" s="184"/>
      <c r="F171" s="184"/>
      <c r="G171" s="320"/>
      <c r="H171" s="297"/>
      <c r="I171" s="299" t="str">
        <f>Daten!G541</f>
        <v>Berechnungsbetrag:</v>
      </c>
      <c r="J171" s="299"/>
      <c r="K171" s="299"/>
      <c r="L171" s="299"/>
      <c r="M171" s="299"/>
      <c r="N171" s="299"/>
      <c r="O171" s="299"/>
      <c r="P171" s="299"/>
      <c r="Q171" s="299"/>
      <c r="R171" s="299"/>
      <c r="S171" s="299"/>
      <c r="T171" s="299"/>
      <c r="U171" s="297"/>
      <c r="V171" s="297"/>
      <c r="W171" s="297"/>
      <c r="X171" s="297"/>
      <c r="Y171" s="644">
        <f>Daten!Q566</f>
        <v>0</v>
      </c>
      <c r="Z171" s="644"/>
      <c r="AA171" s="644"/>
      <c r="AB171" s="644"/>
      <c r="AC171" s="644"/>
      <c r="AD171" s="644"/>
      <c r="AE171" s="644"/>
      <c r="AF171" s="297"/>
      <c r="AG171" s="321"/>
      <c r="AH171" s="184"/>
      <c r="AI171" s="184"/>
      <c r="AJ171" s="184"/>
      <c r="AK171" s="320"/>
      <c r="AL171" s="297"/>
      <c r="AM171" s="299" t="str">
        <f>Daten!G541</f>
        <v>Berechnungsbetrag:</v>
      </c>
      <c r="AN171" s="299"/>
      <c r="AO171" s="299"/>
      <c r="AP171" s="299"/>
      <c r="AQ171" s="299"/>
      <c r="AR171" s="299"/>
      <c r="AS171" s="299"/>
      <c r="AT171" s="299"/>
      <c r="AU171" s="299"/>
      <c r="AV171" s="299"/>
      <c r="AW171" s="299"/>
      <c r="AX171" s="299"/>
      <c r="AY171" s="299"/>
      <c r="AZ171" s="299"/>
      <c r="BA171" s="299"/>
      <c r="BB171" s="299"/>
      <c r="BC171" s="644">
        <f>Daten!Q568</f>
        <v>0</v>
      </c>
      <c r="BD171" s="644"/>
      <c r="BE171" s="644"/>
      <c r="BF171" s="644"/>
      <c r="BG171" s="644"/>
      <c r="BH171" s="644"/>
      <c r="BI171" s="644"/>
      <c r="BJ171" s="297"/>
      <c r="BK171" s="321"/>
      <c r="BL171" s="184"/>
      <c r="BM171" s="184"/>
      <c r="BN171" s="184"/>
      <c r="BO171" s="184"/>
      <c r="BP171" s="184"/>
      <c r="BQ171" s="184"/>
      <c r="BR171" s="184"/>
      <c r="BS171" s="184"/>
      <c r="BT171" s="184"/>
      <c r="BU171" s="184"/>
      <c r="BV171" s="184"/>
      <c r="BW171" s="184"/>
      <c r="BX171" s="184"/>
      <c r="BY171" s="184"/>
      <c r="BZ171" s="184"/>
      <c r="CA171" s="184"/>
      <c r="CB171" s="184"/>
      <c r="CC171" s="184"/>
      <c r="CD171" s="184"/>
      <c r="CE171" s="184"/>
      <c r="CF171" s="184"/>
      <c r="CG171" s="184"/>
      <c r="CH171" s="184"/>
      <c r="CI171" s="184"/>
      <c r="CJ171" s="184"/>
      <c r="CK171" s="184"/>
      <c r="CL171" s="184"/>
      <c r="CM171" s="184"/>
      <c r="CN171" s="184"/>
      <c r="CO171" s="184"/>
      <c r="CP171" s="184"/>
      <c r="CQ171" s="184"/>
      <c r="CR171" s="184"/>
      <c r="CS171" s="184"/>
      <c r="CT171" s="184"/>
      <c r="CU171" s="184"/>
      <c r="CV171" s="184"/>
      <c r="CW171" s="184"/>
      <c r="CX171" s="184"/>
      <c r="CY171" s="184"/>
      <c r="CZ171" s="184"/>
      <c r="DA171" s="184"/>
      <c r="DB171" s="184"/>
      <c r="DC171" s="184"/>
      <c r="DD171" s="184"/>
      <c r="DE171" s="184"/>
      <c r="DF171" s="184"/>
      <c r="DG171" s="184"/>
      <c r="DH171" s="184"/>
      <c r="DI171" s="184"/>
      <c r="DJ171" s="184"/>
      <c r="DK171" s="184"/>
      <c r="DL171" s="184"/>
      <c r="DM171" s="184"/>
      <c r="DN171" s="184"/>
      <c r="DO171" s="184"/>
      <c r="DP171" s="184"/>
      <c r="DQ171" s="184"/>
      <c r="DR171" s="184"/>
      <c r="DS171" s="184"/>
      <c r="DT171" s="184"/>
      <c r="DU171" s="184"/>
      <c r="DV171" s="184"/>
      <c r="DW171" s="184"/>
      <c r="DX171" s="184"/>
      <c r="DY171" s="184"/>
      <c r="DZ171" s="184"/>
      <c r="EA171" s="224"/>
    </row>
    <row r="172" spans="1:131" ht="6" hidden="1" customHeight="1" x14ac:dyDescent="0.2">
      <c r="A172" s="184"/>
      <c r="B172" s="184"/>
      <c r="C172" s="184"/>
      <c r="D172" s="184"/>
      <c r="E172" s="186"/>
      <c r="F172" s="186"/>
      <c r="G172" s="322"/>
      <c r="H172" s="323"/>
      <c r="I172" s="323"/>
      <c r="J172" s="323"/>
      <c r="K172" s="323"/>
      <c r="L172" s="323"/>
      <c r="M172" s="323"/>
      <c r="N172" s="323"/>
      <c r="O172" s="323"/>
      <c r="P172" s="324"/>
      <c r="Q172" s="324"/>
      <c r="R172" s="324"/>
      <c r="S172" s="324"/>
      <c r="T172" s="324"/>
      <c r="U172" s="324"/>
      <c r="V172" s="324"/>
      <c r="W172" s="324"/>
      <c r="X172" s="324"/>
      <c r="Y172" s="325"/>
      <c r="Z172" s="325"/>
      <c r="AA172" s="325"/>
      <c r="AB172" s="325"/>
      <c r="AC172" s="323"/>
      <c r="AD172" s="323"/>
      <c r="AE172" s="323"/>
      <c r="AF172" s="323"/>
      <c r="AG172" s="326"/>
      <c r="AH172" s="186"/>
      <c r="AI172" s="186"/>
      <c r="AJ172" s="186"/>
      <c r="AK172" s="322"/>
      <c r="AL172" s="323"/>
      <c r="AM172" s="323"/>
      <c r="AN172" s="323"/>
      <c r="AO172" s="323"/>
      <c r="AP172" s="323"/>
      <c r="AQ172" s="323"/>
      <c r="AR172" s="323"/>
      <c r="AS172" s="323"/>
      <c r="AT172" s="323"/>
      <c r="AU172" s="323"/>
      <c r="AV172" s="323"/>
      <c r="AW172" s="325"/>
      <c r="AX172" s="325"/>
      <c r="AY172" s="325"/>
      <c r="AZ172" s="325"/>
      <c r="BA172" s="325"/>
      <c r="BB172" s="325"/>
      <c r="BC172" s="325"/>
      <c r="BD172" s="323"/>
      <c r="BE172" s="323"/>
      <c r="BF172" s="323"/>
      <c r="BG172" s="323"/>
      <c r="BH172" s="323"/>
      <c r="BI172" s="323"/>
      <c r="BJ172" s="323"/>
      <c r="BK172" s="326"/>
      <c r="BL172" s="184"/>
      <c r="BM172" s="184"/>
      <c r="BN172" s="184"/>
      <c r="BO172" s="184"/>
      <c r="BP172" s="184"/>
      <c r="BQ172" s="184"/>
      <c r="BR172" s="184"/>
      <c r="BS172" s="186"/>
      <c r="BT172" s="186"/>
      <c r="BU172" s="186"/>
      <c r="BV172" s="186"/>
      <c r="BW172" s="186"/>
      <c r="BX172" s="186"/>
      <c r="BY172" s="186"/>
      <c r="BZ172" s="184"/>
      <c r="CA172" s="184"/>
      <c r="CB172" s="184"/>
      <c r="CC172" s="184"/>
      <c r="CD172" s="184"/>
      <c r="CE172" s="184"/>
      <c r="CF172" s="184"/>
      <c r="CG172" s="184"/>
      <c r="CH172" s="184"/>
      <c r="CI172" s="184"/>
      <c r="CJ172" s="184"/>
      <c r="CK172" s="184"/>
      <c r="CL172" s="184"/>
      <c r="CM172" s="184"/>
      <c r="CN172" s="184"/>
      <c r="CO172" s="184"/>
      <c r="CP172" s="184"/>
      <c r="CQ172" s="184"/>
      <c r="CR172" s="184"/>
      <c r="CS172" s="184"/>
      <c r="CT172" s="184"/>
      <c r="CU172" s="184"/>
      <c r="CV172" s="184"/>
      <c r="CW172" s="184"/>
      <c r="CX172" s="184"/>
      <c r="CY172" s="184"/>
      <c r="CZ172" s="184"/>
      <c r="DA172" s="184"/>
      <c r="DB172" s="184"/>
      <c r="DC172" s="184"/>
      <c r="DD172" s="184"/>
      <c r="DE172" s="184"/>
      <c r="DF172" s="184"/>
      <c r="DG172" s="184"/>
      <c r="DH172" s="184"/>
      <c r="DI172" s="184"/>
      <c r="DJ172" s="184"/>
      <c r="DK172" s="184"/>
      <c r="DL172" s="184"/>
      <c r="DM172" s="184"/>
      <c r="DN172" s="184"/>
      <c r="DO172" s="184"/>
      <c r="DP172" s="184"/>
      <c r="DQ172" s="184"/>
      <c r="DR172" s="184"/>
      <c r="DS172" s="184"/>
      <c r="DT172" s="184"/>
      <c r="DU172" s="184"/>
      <c r="DV172" s="184"/>
      <c r="DW172" s="184"/>
      <c r="DX172" s="184"/>
      <c r="DY172" s="184"/>
      <c r="DZ172" s="184"/>
      <c r="EA172" s="224"/>
    </row>
    <row r="173" spans="1:131" ht="11.1" hidden="1" customHeight="1" x14ac:dyDescent="0.2">
      <c r="A173" s="184"/>
      <c r="B173" s="184"/>
      <c r="C173" s="184"/>
      <c r="D173" s="186"/>
      <c r="E173" s="186"/>
      <c r="F173" s="186"/>
      <c r="G173" s="186"/>
      <c r="H173" s="186"/>
      <c r="I173" s="186"/>
      <c r="J173" s="186"/>
      <c r="K173" s="186"/>
      <c r="L173" s="186"/>
      <c r="M173" s="186"/>
      <c r="N173" s="186"/>
      <c r="O173" s="186"/>
      <c r="P173" s="186"/>
      <c r="Q173" s="186"/>
      <c r="R173" s="184"/>
      <c r="S173" s="184"/>
      <c r="T173" s="304"/>
      <c r="U173" s="304"/>
      <c r="V173" s="184"/>
      <c r="W173" s="184"/>
      <c r="X173" s="184"/>
      <c r="Y173" s="184"/>
      <c r="Z173" s="184"/>
      <c r="AA173" s="184"/>
      <c r="AB173" s="184"/>
      <c r="AC173" s="186"/>
      <c r="AD173" s="186"/>
      <c r="AE173" s="186"/>
      <c r="AF173" s="186"/>
      <c r="AG173" s="186"/>
      <c r="AH173" s="186"/>
      <c r="AI173" s="186"/>
      <c r="AJ173" s="186"/>
      <c r="AK173" s="186"/>
      <c r="AL173" s="186"/>
      <c r="AM173" s="186"/>
      <c r="AN173" s="186"/>
      <c r="AO173" s="186"/>
      <c r="AP173" s="186"/>
      <c r="AQ173" s="186"/>
      <c r="AR173" s="186"/>
      <c r="AS173" s="186"/>
      <c r="AT173" s="186"/>
      <c r="AU173" s="186"/>
      <c r="AV173" s="186"/>
      <c r="AW173" s="186"/>
      <c r="AX173" s="186"/>
      <c r="AY173" s="186"/>
      <c r="AZ173" s="186"/>
      <c r="BA173" s="186"/>
      <c r="BB173" s="186"/>
      <c r="BC173" s="186"/>
      <c r="BD173" s="304"/>
      <c r="BE173" s="304"/>
      <c r="BF173" s="304"/>
      <c r="BG173" s="304"/>
      <c r="BH173" s="304"/>
      <c r="BI173" s="304"/>
      <c r="BJ173" s="304"/>
      <c r="BK173" s="186"/>
      <c r="BL173" s="186"/>
      <c r="BM173" s="186"/>
      <c r="BN173" s="186"/>
      <c r="BO173" s="186"/>
      <c r="BP173" s="186"/>
      <c r="BQ173" s="186"/>
      <c r="BR173" s="186"/>
      <c r="BS173" s="186"/>
      <c r="BT173" s="186"/>
      <c r="BU173" s="186"/>
      <c r="BV173" s="186"/>
      <c r="BW173" s="186"/>
      <c r="BX173" s="186"/>
      <c r="BY173" s="186"/>
      <c r="BZ173" s="184"/>
      <c r="CA173" s="184"/>
      <c r="CB173" s="184"/>
      <c r="CC173" s="184"/>
      <c r="CD173" s="184"/>
      <c r="CE173" s="184"/>
      <c r="CF173" s="184"/>
      <c r="CG173" s="184"/>
      <c r="CH173" s="184"/>
      <c r="CI173" s="184"/>
      <c r="CJ173" s="184"/>
      <c r="CK173" s="184"/>
      <c r="CL173" s="184"/>
      <c r="CM173" s="184"/>
      <c r="CN173" s="184"/>
      <c r="CO173" s="184"/>
      <c r="CP173" s="184"/>
      <c r="CQ173" s="184"/>
      <c r="CR173" s="184"/>
      <c r="CS173" s="184"/>
      <c r="CT173" s="184"/>
      <c r="CU173" s="184"/>
      <c r="CV173" s="184"/>
      <c r="CW173" s="184"/>
      <c r="CX173" s="184"/>
      <c r="CY173" s="184"/>
      <c r="CZ173" s="184"/>
      <c r="DA173" s="184"/>
      <c r="DB173" s="184"/>
      <c r="DC173" s="184"/>
      <c r="DD173" s="184"/>
      <c r="DE173" s="184"/>
      <c r="DF173" s="184"/>
      <c r="DG173" s="184"/>
      <c r="DH173" s="184"/>
      <c r="DI173" s="184"/>
      <c r="DJ173" s="184"/>
      <c r="DK173" s="184"/>
      <c r="DL173" s="184"/>
      <c r="DM173" s="184"/>
      <c r="DN173" s="184"/>
      <c r="DO173" s="184"/>
      <c r="DP173" s="184"/>
      <c r="DQ173" s="184"/>
      <c r="DR173" s="184"/>
      <c r="DS173" s="184"/>
      <c r="DT173" s="184"/>
      <c r="DU173" s="184"/>
      <c r="DV173" s="184"/>
      <c r="DW173" s="184"/>
      <c r="DX173" s="184"/>
      <c r="DY173" s="184"/>
      <c r="DZ173" s="184"/>
      <c r="EA173" s="224"/>
    </row>
    <row r="174" spans="1:131" ht="2.1" hidden="1" customHeight="1" x14ac:dyDescent="0.2">
      <c r="A174" s="184"/>
      <c r="B174" s="186"/>
      <c r="C174" s="186"/>
      <c r="D174" s="186"/>
      <c r="E174" s="186"/>
      <c r="F174" s="186"/>
      <c r="G174" s="334"/>
      <c r="H174" s="332"/>
      <c r="I174" s="332"/>
      <c r="J174" s="332"/>
      <c r="K174" s="332"/>
      <c r="L174" s="332"/>
      <c r="M174" s="332"/>
      <c r="N174" s="332"/>
      <c r="O174" s="332"/>
      <c r="P174" s="332"/>
      <c r="Q174" s="332"/>
      <c r="R174" s="332"/>
      <c r="S174" s="329"/>
      <c r="T174" s="329"/>
      <c r="U174" s="329"/>
      <c r="V174" s="329"/>
      <c r="W174" s="329"/>
      <c r="X174" s="329"/>
      <c r="Y174" s="329"/>
      <c r="Z174" s="329"/>
      <c r="AA174" s="332"/>
      <c r="AB174" s="332"/>
      <c r="AC174" s="332"/>
      <c r="AD174" s="332"/>
      <c r="AE174" s="332"/>
      <c r="AF174" s="332"/>
      <c r="AG174" s="333"/>
      <c r="AH174" s="186"/>
      <c r="AI174" s="186"/>
      <c r="AJ174" s="186"/>
      <c r="AK174" s="334"/>
      <c r="AL174" s="332"/>
      <c r="AM174" s="332"/>
      <c r="AN174" s="332"/>
      <c r="AO174" s="332"/>
      <c r="AP174" s="332"/>
      <c r="AQ174" s="332"/>
      <c r="AR174" s="332"/>
      <c r="AS174" s="332"/>
      <c r="AT174" s="332"/>
      <c r="AU174" s="332"/>
      <c r="AV174" s="332"/>
      <c r="AW174" s="332"/>
      <c r="AX174" s="332"/>
      <c r="AY174" s="332"/>
      <c r="AZ174" s="332"/>
      <c r="BA174" s="332"/>
      <c r="BB174" s="332"/>
      <c r="BC174" s="332"/>
      <c r="BD174" s="332"/>
      <c r="BE174" s="332"/>
      <c r="BF174" s="332"/>
      <c r="BG174" s="332"/>
      <c r="BH174" s="332"/>
      <c r="BI174" s="332"/>
      <c r="BJ174" s="332"/>
      <c r="BK174" s="333"/>
      <c r="BL174" s="184"/>
      <c r="BM174" s="184"/>
      <c r="BN174" s="184"/>
      <c r="BO174" s="184"/>
      <c r="BP174" s="184"/>
      <c r="BQ174" s="184"/>
      <c r="BR174" s="184"/>
      <c r="BS174" s="184"/>
      <c r="BT174" s="184"/>
      <c r="BU174" s="184"/>
      <c r="BV174" s="184"/>
      <c r="BW174" s="184"/>
      <c r="BX174" s="184"/>
      <c r="BY174" s="184"/>
      <c r="BZ174" s="184"/>
      <c r="CA174" s="184"/>
      <c r="CB174" s="184"/>
      <c r="CC174" s="184"/>
      <c r="CD174" s="184"/>
      <c r="CE174" s="184"/>
      <c r="CF174" s="184"/>
      <c r="CG174" s="184"/>
      <c r="CH174" s="184"/>
      <c r="CI174" s="184"/>
      <c r="CJ174" s="184"/>
      <c r="CK174" s="184"/>
      <c r="CL174" s="184"/>
      <c r="CM174" s="184"/>
      <c r="CN174" s="184"/>
      <c r="CO174" s="184"/>
      <c r="CP174" s="184"/>
      <c r="CQ174" s="184"/>
      <c r="CR174" s="184"/>
      <c r="CS174" s="184"/>
      <c r="CT174" s="184"/>
      <c r="CU174" s="184"/>
      <c r="CV174" s="184"/>
      <c r="CW174" s="184"/>
      <c r="CX174" s="184"/>
      <c r="CY174" s="184"/>
      <c r="CZ174" s="184"/>
      <c r="DA174" s="184"/>
      <c r="DB174" s="184"/>
      <c r="DC174" s="184"/>
      <c r="DD174" s="184"/>
      <c r="DE174" s="184"/>
      <c r="DF174" s="184"/>
      <c r="DG174" s="184"/>
      <c r="DH174" s="184"/>
      <c r="DI174" s="184"/>
      <c r="DJ174" s="184"/>
      <c r="DK174" s="184"/>
      <c r="DL174" s="184"/>
      <c r="DM174" s="184"/>
      <c r="DN174" s="184"/>
      <c r="DO174" s="184"/>
      <c r="DP174" s="184"/>
      <c r="DQ174" s="184"/>
      <c r="DR174" s="184"/>
      <c r="DS174" s="184"/>
      <c r="DT174" s="184"/>
      <c r="DU174" s="184"/>
      <c r="DV174" s="184"/>
      <c r="DW174" s="184"/>
      <c r="DX174" s="184"/>
      <c r="DY174" s="184"/>
      <c r="DZ174" s="184"/>
      <c r="EA174" s="224"/>
    </row>
    <row r="175" spans="1:131" ht="15.95" hidden="1" customHeight="1" x14ac:dyDescent="0.2">
      <c r="A175" s="184"/>
      <c r="B175" s="184"/>
      <c r="C175" s="186"/>
      <c r="D175" s="184"/>
      <c r="E175" s="186"/>
      <c r="F175" s="184"/>
      <c r="G175" s="320"/>
      <c r="H175" s="297"/>
      <c r="I175" s="300" t="str">
        <f>Daten!G536</f>
        <v>comp.ASS-LSB "Nebenkosten"</v>
      </c>
      <c r="J175" s="299"/>
      <c r="K175" s="299"/>
      <c r="L175" s="299"/>
      <c r="M175" s="299"/>
      <c r="N175" s="299"/>
      <c r="O175" s="299"/>
      <c r="P175" s="299"/>
      <c r="Q175" s="299"/>
      <c r="R175" s="299"/>
      <c r="S175" s="299"/>
      <c r="T175" s="299"/>
      <c r="U175" s="299"/>
      <c r="V175" s="299"/>
      <c r="W175" s="299"/>
      <c r="X175" s="299"/>
      <c r="Y175" s="299"/>
      <c r="Z175" s="299"/>
      <c r="AA175" s="299"/>
      <c r="AB175" s="299"/>
      <c r="AC175" s="299"/>
      <c r="AD175" s="299"/>
      <c r="AE175" s="299"/>
      <c r="AF175" s="299"/>
      <c r="AG175" s="319"/>
      <c r="AH175" s="186"/>
      <c r="AI175" s="186"/>
      <c r="AJ175" s="186"/>
      <c r="AK175" s="320"/>
      <c r="AL175" s="297"/>
      <c r="AM175" s="300" t="str">
        <f>Daten!G538</f>
        <v>comp.ASS-LSB "Heizungsstrom"</v>
      </c>
      <c r="AN175" s="299"/>
      <c r="AO175" s="299"/>
      <c r="AP175" s="299"/>
      <c r="AQ175" s="299"/>
      <c r="AR175" s="299"/>
      <c r="AS175" s="299"/>
      <c r="AT175" s="299"/>
      <c r="AU175" s="299"/>
      <c r="AV175" s="299"/>
      <c r="AW175" s="299"/>
      <c r="AX175" s="299"/>
      <c r="AY175" s="299"/>
      <c r="AZ175" s="299"/>
      <c r="BA175" s="299"/>
      <c r="BB175" s="299"/>
      <c r="BC175" s="299"/>
      <c r="BD175" s="299"/>
      <c r="BE175" s="299"/>
      <c r="BF175" s="299"/>
      <c r="BG175" s="299"/>
      <c r="BH175" s="299"/>
      <c r="BI175" s="299"/>
      <c r="BJ175" s="299"/>
      <c r="BK175" s="321"/>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c r="DS175" s="184"/>
      <c r="DT175" s="184"/>
      <c r="DU175" s="184"/>
      <c r="DV175" s="184"/>
      <c r="DW175" s="184"/>
      <c r="DX175" s="184"/>
      <c r="DY175" s="184"/>
      <c r="DZ175" s="184"/>
      <c r="EA175" s="224"/>
    </row>
    <row r="176" spans="1:131" ht="6.95" hidden="1" customHeight="1" x14ac:dyDescent="0.2">
      <c r="A176" s="184"/>
      <c r="B176" s="186"/>
      <c r="C176" s="186"/>
      <c r="D176" s="186"/>
      <c r="E176" s="186"/>
      <c r="F176" s="184"/>
      <c r="G176" s="320"/>
      <c r="H176" s="297"/>
      <c r="I176" s="299"/>
      <c r="J176" s="299"/>
      <c r="K176" s="299"/>
      <c r="L176" s="299"/>
      <c r="M176" s="299"/>
      <c r="N176" s="299"/>
      <c r="O176" s="299"/>
      <c r="P176" s="299"/>
      <c r="Q176" s="299"/>
      <c r="R176" s="299"/>
      <c r="S176" s="299"/>
      <c r="T176" s="299"/>
      <c r="U176" s="299"/>
      <c r="V176" s="299"/>
      <c r="W176" s="299"/>
      <c r="X176" s="299"/>
      <c r="Y176" s="299"/>
      <c r="Z176" s="299"/>
      <c r="AA176" s="299"/>
      <c r="AB176" s="299"/>
      <c r="AC176" s="299"/>
      <c r="AD176" s="299"/>
      <c r="AE176" s="299"/>
      <c r="AF176" s="299"/>
      <c r="AG176" s="319"/>
      <c r="AH176" s="186"/>
      <c r="AI176" s="186"/>
      <c r="AJ176" s="186"/>
      <c r="AK176" s="320"/>
      <c r="AL176" s="297"/>
      <c r="AM176" s="299"/>
      <c r="AN176" s="299"/>
      <c r="AO176" s="299"/>
      <c r="AP176" s="299"/>
      <c r="AQ176" s="299"/>
      <c r="AR176" s="299"/>
      <c r="AS176" s="299"/>
      <c r="AT176" s="299"/>
      <c r="AU176" s="299"/>
      <c r="AV176" s="299"/>
      <c r="AW176" s="299"/>
      <c r="AX176" s="299"/>
      <c r="AY176" s="299"/>
      <c r="AZ176" s="299"/>
      <c r="BA176" s="299"/>
      <c r="BB176" s="299"/>
      <c r="BC176" s="299"/>
      <c r="BD176" s="299"/>
      <c r="BE176" s="299"/>
      <c r="BF176" s="299"/>
      <c r="BG176" s="299"/>
      <c r="BH176" s="299"/>
      <c r="BI176" s="299"/>
      <c r="BJ176" s="299"/>
      <c r="BK176" s="321"/>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c r="DS176" s="184"/>
      <c r="DT176" s="184"/>
      <c r="DU176" s="184"/>
      <c r="DV176" s="184"/>
      <c r="DW176" s="184"/>
      <c r="DX176" s="184"/>
      <c r="DY176" s="184"/>
      <c r="DZ176" s="184"/>
      <c r="EA176" s="224"/>
    </row>
    <row r="177" spans="1:131" ht="15.95" hidden="1" customHeight="1" x14ac:dyDescent="0.2">
      <c r="A177" s="184"/>
      <c r="B177" s="184"/>
      <c r="C177" s="186"/>
      <c r="D177" s="184"/>
      <c r="E177" s="186"/>
      <c r="F177" s="184"/>
      <c r="G177" s="320"/>
      <c r="H177" s="297"/>
      <c r="I177" s="299" t="str">
        <f>Daten!G540</f>
        <v>Tats./Nachr. Betrag:</v>
      </c>
      <c r="J177" s="299"/>
      <c r="K177" s="299"/>
      <c r="L177" s="299"/>
      <c r="M177" s="299"/>
      <c r="N177" s="299"/>
      <c r="O177" s="299"/>
      <c r="P177" s="299"/>
      <c r="Q177" s="299"/>
      <c r="R177" s="299"/>
      <c r="S177" s="299"/>
      <c r="T177" s="299"/>
      <c r="U177" s="297"/>
      <c r="V177" s="297"/>
      <c r="W177" s="297"/>
      <c r="X177" s="297"/>
      <c r="Y177" s="645">
        <f>Daten!Q567</f>
        <v>0</v>
      </c>
      <c r="Z177" s="645"/>
      <c r="AA177" s="645"/>
      <c r="AB177" s="645"/>
      <c r="AC177" s="645"/>
      <c r="AD177" s="645"/>
      <c r="AE177" s="645"/>
      <c r="AF177" s="299"/>
      <c r="AG177" s="319"/>
      <c r="AH177" s="186"/>
      <c r="AI177" s="186"/>
      <c r="AJ177" s="186"/>
      <c r="AK177" s="320"/>
      <c r="AL177" s="297"/>
      <c r="AM177" s="299" t="str">
        <f>Daten!G540</f>
        <v>Tats./Nachr. Betrag:</v>
      </c>
      <c r="AN177" s="299"/>
      <c r="AO177" s="299"/>
      <c r="AP177" s="299"/>
      <c r="AQ177" s="299"/>
      <c r="AR177" s="299"/>
      <c r="AS177" s="299"/>
      <c r="AT177" s="299"/>
      <c r="AU177" s="299"/>
      <c r="AV177" s="299"/>
      <c r="AW177" s="299"/>
      <c r="AX177" s="299"/>
      <c r="AY177" s="299"/>
      <c r="AZ177" s="299"/>
      <c r="BA177" s="299"/>
      <c r="BB177" s="299"/>
      <c r="BC177" s="645">
        <f>Daten!Q569</f>
        <v>0</v>
      </c>
      <c r="BD177" s="645"/>
      <c r="BE177" s="645"/>
      <c r="BF177" s="645"/>
      <c r="BG177" s="645"/>
      <c r="BH177" s="645"/>
      <c r="BI177" s="645"/>
      <c r="BJ177" s="299"/>
      <c r="BK177" s="321"/>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c r="DS177" s="184"/>
      <c r="DT177" s="184"/>
      <c r="DU177" s="184"/>
      <c r="DV177" s="184"/>
      <c r="DW177" s="184"/>
      <c r="DX177" s="184"/>
      <c r="DY177" s="184"/>
      <c r="DZ177" s="184"/>
      <c r="EA177" s="224"/>
    </row>
    <row r="178" spans="1:131" ht="6.95" hidden="1" customHeight="1" x14ac:dyDescent="0.2">
      <c r="A178" s="184"/>
      <c r="B178" s="186"/>
      <c r="C178" s="186"/>
      <c r="D178" s="186"/>
      <c r="E178" s="186"/>
      <c r="F178" s="184"/>
      <c r="G178" s="320"/>
      <c r="H178" s="297"/>
      <c r="I178" s="299"/>
      <c r="J178" s="299"/>
      <c r="K178" s="299"/>
      <c r="L178" s="299"/>
      <c r="M178" s="299"/>
      <c r="N178" s="299"/>
      <c r="O178" s="299"/>
      <c r="P178" s="299"/>
      <c r="Q178" s="299"/>
      <c r="R178" s="299"/>
      <c r="S178" s="299"/>
      <c r="T178" s="299"/>
      <c r="U178" s="299"/>
      <c r="V178" s="299"/>
      <c r="W178" s="297"/>
      <c r="X178" s="297"/>
      <c r="Y178" s="297"/>
      <c r="Z178" s="297"/>
      <c r="AA178" s="297"/>
      <c r="AB178" s="297"/>
      <c r="AC178" s="297"/>
      <c r="AD178" s="297"/>
      <c r="AE178" s="297"/>
      <c r="AF178" s="299"/>
      <c r="AG178" s="319"/>
      <c r="AH178" s="186"/>
      <c r="AI178" s="186"/>
      <c r="AJ178" s="186"/>
      <c r="AK178" s="320"/>
      <c r="AL178" s="297"/>
      <c r="AM178" s="299"/>
      <c r="AN178" s="299"/>
      <c r="AO178" s="299"/>
      <c r="AP178" s="299"/>
      <c r="AQ178" s="299"/>
      <c r="AR178" s="299"/>
      <c r="AS178" s="299"/>
      <c r="AT178" s="299"/>
      <c r="AU178" s="299"/>
      <c r="AV178" s="299"/>
      <c r="AW178" s="299"/>
      <c r="AX178" s="299"/>
      <c r="AY178" s="299"/>
      <c r="AZ178" s="299"/>
      <c r="BA178" s="299"/>
      <c r="BB178" s="299"/>
      <c r="BC178" s="299"/>
      <c r="BD178" s="299"/>
      <c r="BE178" s="299"/>
      <c r="BF178" s="299"/>
      <c r="BG178" s="299"/>
      <c r="BH178" s="299"/>
      <c r="BI178" s="299"/>
      <c r="BJ178" s="299"/>
      <c r="BK178" s="321"/>
      <c r="BL178" s="184"/>
      <c r="BM178" s="184"/>
      <c r="BN178" s="184"/>
      <c r="BO178" s="184"/>
      <c r="BP178" s="184"/>
      <c r="BQ178" s="184"/>
      <c r="BR178" s="184"/>
      <c r="BS178" s="184"/>
      <c r="BT178" s="184"/>
      <c r="BU178" s="184"/>
      <c r="BV178" s="184"/>
      <c r="BW178" s="184"/>
      <c r="BX178" s="184"/>
      <c r="BY178" s="184"/>
      <c r="BZ178" s="184"/>
      <c r="CA178" s="184"/>
      <c r="CB178" s="184"/>
      <c r="CC178" s="184"/>
      <c r="CD178" s="184"/>
      <c r="CE178" s="184"/>
      <c r="CF178" s="184"/>
      <c r="CG178" s="184"/>
      <c r="CH178" s="184"/>
      <c r="CI178" s="184"/>
      <c r="CJ178" s="184"/>
      <c r="CK178" s="184"/>
      <c r="CL178" s="184"/>
      <c r="CM178" s="184"/>
      <c r="CN178" s="184"/>
      <c r="CO178" s="184"/>
      <c r="CP178" s="184"/>
      <c r="CQ178" s="184"/>
      <c r="CR178" s="184"/>
      <c r="CS178" s="184"/>
      <c r="CT178" s="184"/>
      <c r="CU178" s="184"/>
      <c r="CV178" s="184"/>
      <c r="CW178" s="184"/>
      <c r="CX178" s="184"/>
      <c r="CY178" s="184"/>
      <c r="CZ178" s="184"/>
      <c r="DA178" s="184"/>
      <c r="DB178" s="184"/>
      <c r="DC178" s="184"/>
      <c r="DD178" s="184"/>
      <c r="DE178" s="184"/>
      <c r="DF178" s="184"/>
      <c r="DG178" s="184"/>
      <c r="DH178" s="184"/>
      <c r="DI178" s="184"/>
      <c r="DJ178" s="184"/>
      <c r="DK178" s="184"/>
      <c r="DL178" s="184"/>
      <c r="DM178" s="184"/>
      <c r="DN178" s="184"/>
      <c r="DO178" s="184"/>
      <c r="DP178" s="184"/>
      <c r="DQ178" s="184"/>
      <c r="DR178" s="184"/>
      <c r="DS178" s="184"/>
      <c r="DT178" s="184"/>
      <c r="DU178" s="184"/>
      <c r="DV178" s="184"/>
      <c r="DW178" s="184"/>
      <c r="DX178" s="184"/>
      <c r="DY178" s="184"/>
      <c r="DZ178" s="184"/>
      <c r="EA178" s="224"/>
    </row>
    <row r="179" spans="1:131" ht="15.95" hidden="1" customHeight="1" x14ac:dyDescent="0.2">
      <c r="A179" s="184"/>
      <c r="B179" s="184"/>
      <c r="C179" s="186"/>
      <c r="D179" s="184"/>
      <c r="E179" s="186"/>
      <c r="F179" s="184"/>
      <c r="G179" s="320"/>
      <c r="H179" s="297"/>
      <c r="I179" s="299" t="str">
        <f>Daten!G541</f>
        <v>Berechnungsbetrag:</v>
      </c>
      <c r="J179" s="299"/>
      <c r="K179" s="299"/>
      <c r="L179" s="299"/>
      <c r="M179" s="299"/>
      <c r="N179" s="299"/>
      <c r="O179" s="299"/>
      <c r="P179" s="299"/>
      <c r="Q179" s="299"/>
      <c r="R179" s="299"/>
      <c r="S179" s="299"/>
      <c r="T179" s="299"/>
      <c r="U179" s="297"/>
      <c r="V179" s="297"/>
      <c r="W179" s="297"/>
      <c r="X179" s="297"/>
      <c r="Y179" s="645">
        <f>Daten!Q567</f>
        <v>0</v>
      </c>
      <c r="Z179" s="645"/>
      <c r="AA179" s="645"/>
      <c r="AB179" s="645"/>
      <c r="AC179" s="645"/>
      <c r="AD179" s="645"/>
      <c r="AE179" s="645"/>
      <c r="AF179" s="299"/>
      <c r="AG179" s="319"/>
      <c r="AH179" s="186"/>
      <c r="AI179" s="186"/>
      <c r="AJ179" s="186"/>
      <c r="AK179" s="320"/>
      <c r="AL179" s="297"/>
      <c r="AM179" s="299" t="str">
        <f>Daten!G541</f>
        <v>Berechnungsbetrag:</v>
      </c>
      <c r="AN179" s="299"/>
      <c r="AO179" s="299"/>
      <c r="AP179" s="299"/>
      <c r="AQ179" s="299"/>
      <c r="AR179" s="299"/>
      <c r="AS179" s="299"/>
      <c r="AT179" s="299"/>
      <c r="AU179" s="299"/>
      <c r="AV179" s="299"/>
      <c r="AW179" s="299"/>
      <c r="AX179" s="299"/>
      <c r="AY179" s="299"/>
      <c r="AZ179" s="299"/>
      <c r="BA179" s="299"/>
      <c r="BB179" s="299"/>
      <c r="BC179" s="645">
        <f>Daten!Q569</f>
        <v>0</v>
      </c>
      <c r="BD179" s="645"/>
      <c r="BE179" s="645"/>
      <c r="BF179" s="645"/>
      <c r="BG179" s="645"/>
      <c r="BH179" s="645"/>
      <c r="BI179" s="645"/>
      <c r="BJ179" s="299"/>
      <c r="BK179" s="321"/>
      <c r="BL179" s="184"/>
      <c r="BM179" s="184"/>
      <c r="BN179" s="184"/>
      <c r="BO179" s="184"/>
      <c r="BP179" s="184"/>
      <c r="BQ179" s="184"/>
      <c r="BR179" s="184"/>
      <c r="BS179" s="184"/>
      <c r="BT179" s="184"/>
      <c r="BU179" s="184"/>
      <c r="BV179" s="184"/>
      <c r="BW179" s="184"/>
      <c r="BX179" s="184"/>
      <c r="BY179" s="184"/>
      <c r="BZ179" s="184"/>
      <c r="CA179" s="184"/>
      <c r="CB179" s="184"/>
      <c r="CC179" s="184"/>
      <c r="CD179" s="184"/>
      <c r="CE179" s="184"/>
      <c r="CF179" s="184"/>
      <c r="CG179" s="184"/>
      <c r="CH179" s="184"/>
      <c r="CI179" s="184"/>
      <c r="CJ179" s="184"/>
      <c r="CK179" s="184"/>
      <c r="CL179" s="184"/>
      <c r="CM179" s="184"/>
      <c r="CN179" s="184"/>
      <c r="CO179" s="184"/>
      <c r="CP179" s="184"/>
      <c r="CQ179" s="184"/>
      <c r="CR179" s="184"/>
      <c r="CS179" s="184"/>
      <c r="CT179" s="184"/>
      <c r="CU179" s="184"/>
      <c r="CV179" s="184"/>
      <c r="CW179" s="184"/>
      <c r="CX179" s="184"/>
      <c r="CY179" s="184"/>
      <c r="CZ179" s="184"/>
      <c r="DA179" s="184"/>
      <c r="DB179" s="184"/>
      <c r="DC179" s="184"/>
      <c r="DD179" s="184"/>
      <c r="DE179" s="184"/>
      <c r="DF179" s="184"/>
      <c r="DG179" s="184"/>
      <c r="DH179" s="184"/>
      <c r="DI179" s="184"/>
      <c r="DJ179" s="184"/>
      <c r="DK179" s="184"/>
      <c r="DL179" s="184"/>
      <c r="DM179" s="184"/>
      <c r="DN179" s="184"/>
      <c r="DO179" s="184"/>
      <c r="DP179" s="184"/>
      <c r="DQ179" s="184"/>
      <c r="DR179" s="184"/>
      <c r="DS179" s="184"/>
      <c r="DT179" s="184"/>
      <c r="DU179" s="184"/>
      <c r="DV179" s="184"/>
      <c r="DW179" s="184"/>
      <c r="DX179" s="184"/>
      <c r="DY179" s="184"/>
      <c r="DZ179" s="184"/>
      <c r="EA179" s="224"/>
    </row>
    <row r="180" spans="1:131" ht="6" hidden="1" customHeight="1" x14ac:dyDescent="0.2">
      <c r="A180" s="184"/>
      <c r="B180" s="184"/>
      <c r="C180" s="186"/>
      <c r="D180" s="186"/>
      <c r="E180" s="186"/>
      <c r="F180" s="186"/>
      <c r="G180" s="322"/>
      <c r="H180" s="323"/>
      <c r="I180" s="323"/>
      <c r="J180" s="323"/>
      <c r="K180" s="323"/>
      <c r="L180" s="323"/>
      <c r="M180" s="323"/>
      <c r="N180" s="323"/>
      <c r="O180" s="323"/>
      <c r="P180" s="323"/>
      <c r="Q180" s="323"/>
      <c r="R180" s="324"/>
      <c r="S180" s="324"/>
      <c r="T180" s="335"/>
      <c r="U180" s="335"/>
      <c r="V180" s="324"/>
      <c r="W180" s="324"/>
      <c r="X180" s="324"/>
      <c r="Y180" s="324"/>
      <c r="Z180" s="324"/>
      <c r="AA180" s="324"/>
      <c r="AB180" s="324"/>
      <c r="AC180" s="323"/>
      <c r="AD180" s="323"/>
      <c r="AE180" s="323"/>
      <c r="AF180" s="323"/>
      <c r="AG180" s="326"/>
      <c r="AH180" s="186"/>
      <c r="AI180" s="186"/>
      <c r="AJ180" s="186"/>
      <c r="AK180" s="322"/>
      <c r="AL180" s="323"/>
      <c r="AM180" s="323"/>
      <c r="AN180" s="323"/>
      <c r="AO180" s="323"/>
      <c r="AP180" s="323"/>
      <c r="AQ180" s="323"/>
      <c r="AR180" s="323"/>
      <c r="AS180" s="323"/>
      <c r="AT180" s="323"/>
      <c r="AU180" s="323"/>
      <c r="AV180" s="323"/>
      <c r="AW180" s="335"/>
      <c r="AX180" s="335"/>
      <c r="AY180" s="335"/>
      <c r="AZ180" s="335"/>
      <c r="BA180" s="335"/>
      <c r="BB180" s="335"/>
      <c r="BC180" s="335"/>
      <c r="BD180" s="323"/>
      <c r="BE180" s="323"/>
      <c r="BF180" s="323"/>
      <c r="BG180" s="323"/>
      <c r="BH180" s="323"/>
      <c r="BI180" s="323"/>
      <c r="BJ180" s="323"/>
      <c r="BK180" s="326"/>
      <c r="BL180" s="184"/>
      <c r="BM180" s="184"/>
      <c r="BN180" s="184"/>
      <c r="BO180" s="184"/>
      <c r="BP180" s="184"/>
      <c r="BQ180" s="184"/>
      <c r="BR180" s="184"/>
      <c r="BS180" s="184"/>
      <c r="BT180" s="184"/>
      <c r="BU180" s="184"/>
      <c r="BV180" s="184"/>
      <c r="BW180" s="184"/>
      <c r="BX180" s="184"/>
      <c r="BY180" s="184"/>
      <c r="BZ180" s="184"/>
      <c r="CA180" s="184"/>
      <c r="CB180" s="184"/>
      <c r="CC180" s="184"/>
      <c r="CD180" s="184"/>
      <c r="CE180" s="184"/>
      <c r="CF180" s="184"/>
      <c r="CG180" s="184"/>
      <c r="CH180" s="184"/>
      <c r="CI180" s="184"/>
      <c r="CJ180" s="184"/>
      <c r="CK180" s="184"/>
      <c r="CL180" s="184"/>
      <c r="CM180" s="184"/>
      <c r="CN180" s="184"/>
      <c r="CO180" s="184"/>
      <c r="CP180" s="184"/>
      <c r="CQ180" s="184"/>
      <c r="CR180" s="184"/>
      <c r="CS180" s="184"/>
      <c r="CT180" s="184"/>
      <c r="CU180" s="184"/>
      <c r="CV180" s="184"/>
      <c r="CW180" s="184"/>
      <c r="CX180" s="184"/>
      <c r="CY180" s="184"/>
      <c r="CZ180" s="184"/>
      <c r="DA180" s="184"/>
      <c r="DB180" s="184"/>
      <c r="DC180" s="184"/>
      <c r="DD180" s="184"/>
      <c r="DE180" s="184"/>
      <c r="DF180" s="184"/>
      <c r="DG180" s="184"/>
      <c r="DH180" s="184"/>
      <c r="DI180" s="184"/>
      <c r="DJ180" s="184"/>
      <c r="DK180" s="184"/>
      <c r="DL180" s="184"/>
      <c r="DM180" s="184"/>
      <c r="DN180" s="184"/>
      <c r="DO180" s="184"/>
      <c r="DP180" s="184"/>
      <c r="DQ180" s="184"/>
      <c r="DR180" s="184"/>
      <c r="DS180" s="184"/>
      <c r="DT180" s="184"/>
      <c r="DU180" s="184"/>
      <c r="DV180" s="184"/>
      <c r="DW180" s="184"/>
      <c r="DX180" s="184"/>
      <c r="DY180" s="184"/>
      <c r="DZ180" s="184"/>
      <c r="EA180" s="224"/>
    </row>
    <row r="181" spans="1:131" ht="20.100000000000001" hidden="1" customHeight="1" x14ac:dyDescent="0.2">
      <c r="A181" s="184"/>
      <c r="B181" s="186"/>
      <c r="C181" s="186"/>
      <c r="D181" s="186"/>
      <c r="E181" s="186"/>
      <c r="F181" s="186"/>
      <c r="G181" s="186"/>
      <c r="H181" s="186"/>
      <c r="I181" s="186"/>
      <c r="J181" s="186"/>
      <c r="K181" s="186"/>
      <c r="L181" s="186"/>
      <c r="M181" s="186"/>
      <c r="N181" s="186"/>
      <c r="O181" s="186"/>
      <c r="P181" s="186"/>
      <c r="Q181" s="186"/>
      <c r="R181" s="186"/>
      <c r="S181" s="186"/>
      <c r="T181" s="184"/>
      <c r="U181" s="184"/>
      <c r="V181" s="184"/>
      <c r="W181" s="184"/>
      <c r="X181" s="184"/>
      <c r="Y181" s="184"/>
      <c r="Z181" s="184"/>
      <c r="AA181" s="186"/>
      <c r="AB181" s="186"/>
      <c r="AC181" s="186"/>
      <c r="AD181" s="186"/>
      <c r="AE181" s="186"/>
      <c r="AF181" s="186"/>
      <c r="AG181" s="186"/>
      <c r="AH181" s="186"/>
      <c r="AI181" s="186"/>
      <c r="AJ181" s="186"/>
      <c r="AK181" s="186"/>
      <c r="AL181" s="186"/>
      <c r="AM181" s="186"/>
      <c r="AN181" s="186"/>
      <c r="AO181" s="186"/>
      <c r="AP181" s="186"/>
      <c r="AQ181" s="186"/>
      <c r="AR181" s="186"/>
      <c r="AS181" s="186"/>
      <c r="AT181" s="186"/>
      <c r="AU181" s="186"/>
      <c r="AV181" s="186"/>
      <c r="AW181" s="186"/>
      <c r="AX181" s="186"/>
      <c r="AY181" s="186"/>
      <c r="AZ181" s="186"/>
      <c r="BA181" s="186"/>
      <c r="BB181" s="186"/>
      <c r="BC181" s="186"/>
      <c r="BD181" s="186"/>
      <c r="BE181" s="186"/>
      <c r="BF181" s="186"/>
      <c r="BG181" s="186"/>
      <c r="BH181" s="186"/>
      <c r="BI181" s="186"/>
      <c r="BJ181" s="186"/>
      <c r="BK181" s="186"/>
      <c r="BL181" s="186"/>
      <c r="BM181" s="186"/>
      <c r="BN181" s="186"/>
      <c r="BO181" s="186"/>
      <c r="BP181" s="186"/>
      <c r="BQ181" s="186"/>
      <c r="BR181" s="186"/>
      <c r="BS181" s="186"/>
      <c r="BT181" s="186"/>
      <c r="BU181" s="186"/>
      <c r="BV181" s="186"/>
      <c r="BW181" s="186"/>
      <c r="BX181" s="186"/>
      <c r="BY181" s="186"/>
      <c r="BZ181" s="184"/>
      <c r="CA181" s="184"/>
      <c r="CB181" s="184"/>
      <c r="CC181" s="184"/>
      <c r="CD181" s="184"/>
      <c r="CE181" s="184"/>
      <c r="CF181" s="184"/>
      <c r="CG181" s="184"/>
      <c r="CH181" s="184"/>
      <c r="CI181" s="184"/>
      <c r="CJ181" s="184"/>
      <c r="CK181" s="184"/>
      <c r="CL181" s="184"/>
      <c r="CM181" s="184"/>
      <c r="CN181" s="184"/>
      <c r="CO181" s="184"/>
      <c r="CP181" s="184"/>
      <c r="CQ181" s="184"/>
      <c r="CR181" s="184"/>
      <c r="CS181" s="184"/>
      <c r="CT181" s="184"/>
      <c r="CU181" s="184"/>
      <c r="CV181" s="184"/>
      <c r="CW181" s="184"/>
      <c r="CX181" s="184"/>
      <c r="CY181" s="184"/>
      <c r="CZ181" s="184"/>
      <c r="DA181" s="184"/>
      <c r="DB181" s="184"/>
      <c r="DC181" s="184"/>
      <c r="DD181" s="184"/>
      <c r="DE181" s="184"/>
      <c r="DF181" s="184"/>
      <c r="DG181" s="184"/>
      <c r="DH181" s="184"/>
      <c r="DI181" s="184"/>
      <c r="DJ181" s="184"/>
      <c r="DK181" s="184"/>
      <c r="DL181" s="184"/>
      <c r="DM181" s="184"/>
      <c r="DN181" s="184"/>
      <c r="DO181" s="184"/>
      <c r="DP181" s="184"/>
      <c r="DQ181" s="184"/>
      <c r="DR181" s="184"/>
      <c r="DS181" s="184"/>
      <c r="DT181" s="184"/>
      <c r="DU181" s="184"/>
      <c r="DV181" s="184"/>
      <c r="DW181" s="184"/>
      <c r="DX181" s="184"/>
      <c r="DY181" s="184"/>
      <c r="DZ181" s="184"/>
      <c r="EA181" s="224"/>
    </row>
    <row r="182" spans="1:131" ht="15.95" hidden="1" customHeight="1" x14ac:dyDescent="0.25">
      <c r="A182" s="184"/>
      <c r="B182" s="263" t="e">
        <f>IF(Daten!E528=1,Daten!A539&amp;" "&amp;UPPER(Daten!A540)&amp;" "&amp;Daten!A541,"")</f>
        <v>#N/A</v>
      </c>
      <c r="C182" s="186"/>
      <c r="D182" s="186"/>
      <c r="E182" s="186"/>
      <c r="F182" s="186"/>
      <c r="G182" s="186"/>
      <c r="H182" s="186"/>
      <c r="I182" s="186"/>
      <c r="J182" s="186"/>
      <c r="K182" s="186"/>
      <c r="L182" s="186"/>
      <c r="M182" s="186"/>
      <c r="N182" s="186"/>
      <c r="O182" s="186"/>
      <c r="P182" s="186"/>
      <c r="Q182" s="186"/>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c r="BA182" s="186"/>
      <c r="BB182" s="186"/>
      <c r="BC182" s="186"/>
      <c r="BD182" s="186"/>
      <c r="BE182" s="186"/>
      <c r="BF182" s="186"/>
      <c r="BG182" s="186"/>
      <c r="BH182" s="186"/>
      <c r="BI182" s="186"/>
      <c r="BJ182" s="186"/>
      <c r="BK182" s="186"/>
      <c r="BL182" s="186"/>
      <c r="BM182" s="186"/>
      <c r="BN182" s="186"/>
      <c r="BO182" s="186"/>
      <c r="BP182" s="186"/>
      <c r="BQ182" s="186"/>
      <c r="BR182" s="186"/>
      <c r="BS182" s="186"/>
      <c r="BT182" s="186"/>
      <c r="BU182" s="186"/>
      <c r="BV182" s="186"/>
      <c r="BW182" s="186"/>
      <c r="BX182" s="186"/>
      <c r="BY182" s="186"/>
      <c r="BZ182" s="184"/>
      <c r="CA182" s="184"/>
      <c r="CB182" s="184"/>
      <c r="CC182" s="184"/>
      <c r="CD182" s="184"/>
      <c r="CE182" s="184"/>
      <c r="CF182" s="184"/>
      <c r="CG182" s="184"/>
      <c r="CH182" s="184"/>
      <c r="CI182" s="184"/>
      <c r="CJ182" s="184"/>
      <c r="CK182" s="184"/>
      <c r="CL182" s="184"/>
      <c r="CM182" s="184"/>
      <c r="CN182" s="184"/>
      <c r="CO182" s="184"/>
      <c r="CP182" s="184"/>
      <c r="CQ182" s="184"/>
      <c r="CR182" s="184"/>
      <c r="CS182" s="184"/>
      <c r="CT182" s="184"/>
      <c r="CU182" s="184"/>
      <c r="CV182" s="184"/>
      <c r="CW182" s="184"/>
      <c r="CX182" s="184"/>
      <c r="CY182" s="184"/>
      <c r="CZ182" s="184"/>
      <c r="DA182" s="184"/>
      <c r="DB182" s="184"/>
      <c r="DC182" s="184"/>
      <c r="DD182" s="184"/>
      <c r="DE182" s="184"/>
      <c r="DF182" s="184"/>
      <c r="DG182" s="184"/>
      <c r="DH182" s="184"/>
      <c r="DI182" s="184"/>
      <c r="DJ182" s="184"/>
      <c r="DK182" s="184"/>
      <c r="DL182" s="184"/>
      <c r="DM182" s="184"/>
      <c r="DN182" s="184"/>
      <c r="DO182" s="184"/>
      <c r="DP182" s="184"/>
      <c r="DQ182" s="184"/>
      <c r="DR182" s="184"/>
      <c r="DS182" s="184"/>
      <c r="DT182" s="184"/>
      <c r="DU182" s="184"/>
      <c r="DV182" s="184"/>
      <c r="DW182" s="184"/>
      <c r="DX182" s="184"/>
      <c r="DY182" s="184"/>
      <c r="DZ182" s="184"/>
      <c r="EA182" s="224"/>
    </row>
    <row r="183" spans="1:131" ht="3.95" hidden="1" customHeight="1" x14ac:dyDescent="0.25">
      <c r="A183" s="184"/>
      <c r="B183" s="263"/>
      <c r="C183" s="186"/>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c r="AW183" s="186"/>
      <c r="AX183" s="186"/>
      <c r="AY183" s="186"/>
      <c r="AZ183" s="186"/>
      <c r="BA183" s="186"/>
      <c r="BB183" s="186"/>
      <c r="BC183" s="186"/>
      <c r="BD183" s="186"/>
      <c r="BE183" s="186"/>
      <c r="BF183" s="186"/>
      <c r="BG183" s="186"/>
      <c r="BH183" s="186"/>
      <c r="BI183" s="186"/>
      <c r="BJ183" s="186"/>
      <c r="BK183" s="186"/>
      <c r="BL183" s="186"/>
      <c r="BM183" s="186"/>
      <c r="BN183" s="186"/>
      <c r="BO183" s="186"/>
      <c r="BP183" s="186"/>
      <c r="BQ183" s="186"/>
      <c r="BR183" s="186"/>
      <c r="BS183" s="186"/>
      <c r="BT183" s="186"/>
      <c r="BU183" s="186"/>
      <c r="BV183" s="186"/>
      <c r="BW183" s="186"/>
      <c r="BX183" s="186"/>
      <c r="BY183" s="186"/>
      <c r="BZ183" s="184"/>
      <c r="CA183" s="184"/>
      <c r="CB183" s="184"/>
      <c r="CC183" s="184"/>
      <c r="CD183" s="184"/>
      <c r="CE183" s="184"/>
      <c r="CF183" s="184"/>
      <c r="CG183" s="184"/>
      <c r="CH183" s="184"/>
      <c r="CI183" s="184"/>
      <c r="CJ183" s="184"/>
      <c r="CK183" s="184"/>
      <c r="CL183" s="184"/>
      <c r="CM183" s="184"/>
      <c r="CN183" s="184"/>
      <c r="CO183" s="184"/>
      <c r="CP183" s="184"/>
      <c r="CQ183" s="184"/>
      <c r="CR183" s="184"/>
      <c r="CS183" s="184"/>
      <c r="CT183" s="184"/>
      <c r="CU183" s="184"/>
      <c r="CV183" s="184"/>
      <c r="CW183" s="184"/>
      <c r="CX183" s="184"/>
      <c r="CY183" s="184"/>
      <c r="CZ183" s="184"/>
      <c r="DA183" s="184"/>
      <c r="DB183" s="184"/>
      <c r="DC183" s="184"/>
      <c r="DD183" s="184"/>
      <c r="DE183" s="184"/>
      <c r="DF183" s="184"/>
      <c r="DG183" s="184"/>
      <c r="DH183" s="184"/>
      <c r="DI183" s="184"/>
      <c r="DJ183" s="184"/>
      <c r="DK183" s="184"/>
      <c r="DL183" s="184"/>
      <c r="DM183" s="184"/>
      <c r="DN183" s="184"/>
      <c r="DO183" s="184"/>
      <c r="DP183" s="184"/>
      <c r="DQ183" s="184"/>
      <c r="DR183" s="184"/>
      <c r="DS183" s="184"/>
      <c r="DT183" s="184"/>
      <c r="DU183" s="184"/>
      <c r="DV183" s="184"/>
      <c r="DW183" s="184"/>
      <c r="DX183" s="184"/>
      <c r="DY183" s="184"/>
      <c r="DZ183" s="184"/>
      <c r="EA183" s="224"/>
    </row>
    <row r="184" spans="1:131" ht="15.95" hidden="1" customHeight="1" x14ac:dyDescent="0.25">
      <c r="A184" s="184"/>
      <c r="B184" s="263"/>
      <c r="C184" s="186"/>
      <c r="D184" s="186"/>
      <c r="E184" s="186"/>
      <c r="F184" s="186"/>
      <c r="G184" s="337" t="e">
        <f>IF(AND(Daten!E528=1,Daten!K79&gt;0),TEXT(Daten!G543&amp;Daten!G544&amp;Daten!G545,""),"")</f>
        <v>#N/A</v>
      </c>
      <c r="H184" s="186"/>
      <c r="I184" s="186"/>
      <c r="J184" s="186"/>
      <c r="K184" s="186"/>
      <c r="L184" s="186"/>
      <c r="M184" s="186"/>
      <c r="N184" s="186"/>
      <c r="O184" s="186"/>
      <c r="P184" s="186"/>
      <c r="Q184" s="186"/>
      <c r="R184" s="186"/>
      <c r="S184" s="186"/>
      <c r="T184" s="186"/>
      <c r="U184" s="186"/>
      <c r="V184" s="186"/>
      <c r="W184" s="186"/>
      <c r="X184" s="186"/>
      <c r="Y184" s="186"/>
      <c r="Z184" s="186"/>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c r="AW184" s="186"/>
      <c r="AX184" s="186"/>
      <c r="AY184" s="186"/>
      <c r="AZ184" s="186"/>
      <c r="BA184" s="186"/>
      <c r="BB184" s="186"/>
      <c r="BC184" s="186"/>
      <c r="BD184" s="186"/>
      <c r="BE184" s="186"/>
      <c r="BF184" s="186"/>
      <c r="BG184" s="186"/>
      <c r="BH184" s="186"/>
      <c r="BI184" s="186"/>
      <c r="BJ184" s="186"/>
      <c r="BK184" s="186"/>
      <c r="BL184" s="186"/>
      <c r="BM184" s="186"/>
      <c r="BN184" s="186"/>
      <c r="BO184" s="186"/>
      <c r="BP184" s="186"/>
      <c r="BQ184" s="186"/>
      <c r="BR184" s="186"/>
      <c r="BS184" s="186"/>
      <c r="BT184" s="186"/>
      <c r="BU184" s="186"/>
      <c r="BV184" s="186"/>
      <c r="BW184" s="186"/>
      <c r="BX184" s="186"/>
      <c r="BY184" s="186"/>
      <c r="BZ184" s="184"/>
      <c r="CA184" s="184"/>
      <c r="CB184" s="184"/>
      <c r="CC184" s="184"/>
      <c r="CD184" s="184"/>
      <c r="CE184" s="184"/>
      <c r="CF184" s="184"/>
      <c r="CG184" s="184"/>
      <c r="CH184" s="184"/>
      <c r="CI184" s="184"/>
      <c r="CJ184" s="184"/>
      <c r="CK184" s="184"/>
      <c r="CL184" s="184"/>
      <c r="CM184" s="184"/>
      <c r="CN184" s="184"/>
      <c r="CO184" s="184"/>
      <c r="CP184" s="184"/>
      <c r="CQ184" s="184"/>
      <c r="CR184" s="184"/>
      <c r="CS184" s="184"/>
      <c r="CT184" s="184"/>
      <c r="CU184" s="184"/>
      <c r="CV184" s="184"/>
      <c r="CW184" s="184"/>
      <c r="CX184" s="184"/>
      <c r="CY184" s="184"/>
      <c r="CZ184" s="184"/>
      <c r="DA184" s="184"/>
      <c r="DB184" s="184"/>
      <c r="DC184" s="184"/>
      <c r="DD184" s="184"/>
      <c r="DE184" s="184"/>
      <c r="DF184" s="184"/>
      <c r="DG184" s="184"/>
      <c r="DH184" s="184"/>
      <c r="DI184" s="184"/>
      <c r="DJ184" s="184"/>
      <c r="DK184" s="184"/>
      <c r="DL184" s="184"/>
      <c r="DM184" s="184"/>
      <c r="DN184" s="184"/>
      <c r="DO184" s="184"/>
      <c r="DP184" s="184"/>
      <c r="DQ184" s="184"/>
      <c r="DR184" s="184"/>
      <c r="DS184" s="184"/>
      <c r="DT184" s="184"/>
      <c r="DU184" s="184"/>
      <c r="DV184" s="184"/>
      <c r="DW184" s="184"/>
      <c r="DX184" s="184"/>
      <c r="DY184" s="184"/>
      <c r="DZ184" s="184"/>
      <c r="EA184" s="224"/>
    </row>
    <row r="185" spans="1:131" ht="3.95" hidden="1" customHeight="1" x14ac:dyDescent="0.25">
      <c r="A185" s="184"/>
      <c r="B185" s="263"/>
      <c r="C185" s="186"/>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c r="Z185" s="186"/>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c r="AW185" s="186"/>
      <c r="AX185" s="186"/>
      <c r="AY185" s="186"/>
      <c r="AZ185" s="186"/>
      <c r="BA185" s="186"/>
      <c r="BB185" s="186"/>
      <c r="BC185" s="186"/>
      <c r="BD185" s="186"/>
      <c r="BE185" s="186"/>
      <c r="BF185" s="186"/>
      <c r="BG185" s="186"/>
      <c r="BH185" s="186"/>
      <c r="BI185" s="186"/>
      <c r="BJ185" s="186"/>
      <c r="BK185" s="186"/>
      <c r="BL185" s="186"/>
      <c r="BM185" s="186"/>
      <c r="BN185" s="186"/>
      <c r="BO185" s="186"/>
      <c r="BP185" s="186"/>
      <c r="BQ185" s="186"/>
      <c r="BR185" s="186"/>
      <c r="BS185" s="186"/>
      <c r="BT185" s="186"/>
      <c r="BU185" s="186"/>
      <c r="BV185" s="186"/>
      <c r="BW185" s="186"/>
      <c r="BX185" s="186"/>
      <c r="BY185" s="186"/>
      <c r="BZ185" s="184"/>
      <c r="CA185" s="184"/>
      <c r="CB185" s="184"/>
      <c r="CC185" s="184"/>
      <c r="CD185" s="184"/>
      <c r="CE185" s="184"/>
      <c r="CF185" s="184"/>
      <c r="CG185" s="184"/>
      <c r="CH185" s="184"/>
      <c r="CI185" s="184"/>
      <c r="CJ185" s="184"/>
      <c r="CK185" s="184"/>
      <c r="CL185" s="184"/>
      <c r="CM185" s="184"/>
      <c r="CN185" s="184"/>
      <c r="CO185" s="184"/>
      <c r="CP185" s="184"/>
      <c r="CQ185" s="184"/>
      <c r="CR185" s="184"/>
      <c r="CS185" s="184"/>
      <c r="CT185" s="184"/>
      <c r="CU185" s="184"/>
      <c r="CV185" s="184"/>
      <c r="CW185" s="184"/>
      <c r="CX185" s="184"/>
      <c r="CY185" s="184"/>
      <c r="CZ185" s="184"/>
      <c r="DA185" s="184"/>
      <c r="DB185" s="184"/>
      <c r="DC185" s="184"/>
      <c r="DD185" s="184"/>
      <c r="DE185" s="184"/>
      <c r="DF185" s="184"/>
      <c r="DG185" s="184"/>
      <c r="DH185" s="184"/>
      <c r="DI185" s="184"/>
      <c r="DJ185" s="184"/>
      <c r="DK185" s="184"/>
      <c r="DL185" s="184"/>
      <c r="DM185" s="184"/>
      <c r="DN185" s="184"/>
      <c r="DO185" s="184"/>
      <c r="DP185" s="184"/>
      <c r="DQ185" s="184"/>
      <c r="DR185" s="184"/>
      <c r="DS185" s="184"/>
      <c r="DT185" s="184"/>
      <c r="DU185" s="184"/>
      <c r="DV185" s="184"/>
      <c r="DW185" s="184"/>
      <c r="DX185" s="184"/>
      <c r="DY185" s="184"/>
      <c r="DZ185" s="184"/>
      <c r="EA185" s="224"/>
    </row>
    <row r="186" spans="1:131" ht="2.1" hidden="1" customHeight="1" x14ac:dyDescent="0.25">
      <c r="A186" s="184"/>
      <c r="B186" s="263"/>
      <c r="C186" s="186"/>
      <c r="D186" s="186"/>
      <c r="E186" s="186"/>
      <c r="F186" s="186"/>
      <c r="G186" s="186"/>
      <c r="H186" s="186"/>
      <c r="I186" s="186"/>
      <c r="J186" s="186"/>
      <c r="K186" s="186"/>
      <c r="L186" s="186"/>
      <c r="M186" s="186"/>
      <c r="N186" s="186"/>
      <c r="O186" s="186"/>
      <c r="P186" s="186"/>
      <c r="Q186" s="186"/>
      <c r="R186" s="186"/>
      <c r="S186" s="186"/>
      <c r="T186" s="186"/>
      <c r="U186" s="186"/>
      <c r="V186" s="186"/>
      <c r="W186" s="186"/>
      <c r="X186" s="186"/>
      <c r="Y186" s="186"/>
      <c r="Z186" s="186"/>
      <c r="AA186" s="186"/>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c r="AW186" s="186"/>
      <c r="AX186" s="186"/>
      <c r="AY186" s="186"/>
      <c r="AZ186" s="186"/>
      <c r="BA186" s="186"/>
      <c r="BB186" s="186"/>
      <c r="BC186" s="186"/>
      <c r="BD186" s="186"/>
      <c r="BE186" s="186"/>
      <c r="BF186" s="186"/>
      <c r="BG186" s="186"/>
      <c r="BH186" s="186"/>
      <c r="BI186" s="186"/>
      <c r="BJ186" s="186"/>
      <c r="BK186" s="186"/>
      <c r="BL186" s="186"/>
      <c r="BM186" s="186"/>
      <c r="BN186" s="186"/>
      <c r="BO186" s="186"/>
      <c r="BP186" s="186"/>
      <c r="BQ186" s="186"/>
      <c r="BR186" s="186"/>
      <c r="BS186" s="186"/>
      <c r="BT186" s="186"/>
      <c r="BU186" s="186"/>
      <c r="BV186" s="186"/>
      <c r="BW186" s="186"/>
      <c r="BX186" s="186"/>
      <c r="BY186" s="186"/>
      <c r="BZ186" s="184"/>
      <c r="CA186" s="184"/>
      <c r="CB186" s="184"/>
      <c r="CC186" s="184"/>
      <c r="CD186" s="184"/>
      <c r="CE186" s="184"/>
      <c r="CF186" s="184"/>
      <c r="CG186" s="184"/>
      <c r="CH186" s="184"/>
      <c r="CI186" s="184"/>
      <c r="CJ186" s="184"/>
      <c r="CK186" s="184"/>
      <c r="CL186" s="184"/>
      <c r="CM186" s="184"/>
      <c r="CN186" s="184"/>
      <c r="CO186" s="184"/>
      <c r="CP186" s="184"/>
      <c r="CQ186" s="184"/>
      <c r="CR186" s="184"/>
      <c r="CS186" s="184"/>
      <c r="CT186" s="184"/>
      <c r="CU186" s="184"/>
      <c r="CV186" s="184"/>
      <c r="CW186" s="184"/>
      <c r="CX186" s="184"/>
      <c r="CY186" s="184"/>
      <c r="CZ186" s="184"/>
      <c r="DA186" s="184"/>
      <c r="DB186" s="184"/>
      <c r="DC186" s="184"/>
      <c r="DD186" s="184"/>
      <c r="DE186" s="184"/>
      <c r="DF186" s="184"/>
      <c r="DG186" s="184"/>
      <c r="DH186" s="184"/>
      <c r="DI186" s="184"/>
      <c r="DJ186" s="184"/>
      <c r="DK186" s="184"/>
      <c r="DL186" s="184"/>
      <c r="DM186" s="184"/>
      <c r="DN186" s="184"/>
      <c r="DO186" s="184"/>
      <c r="DP186" s="184"/>
      <c r="DQ186" s="184"/>
      <c r="DR186" s="184"/>
      <c r="DS186" s="184"/>
      <c r="DT186" s="184"/>
      <c r="DU186" s="184"/>
      <c r="DV186" s="184"/>
      <c r="DW186" s="184"/>
      <c r="DX186" s="184"/>
      <c r="DY186" s="184"/>
      <c r="DZ186" s="184"/>
      <c r="EA186" s="224"/>
    </row>
    <row r="187" spans="1:131" ht="6" hidden="1" customHeight="1" x14ac:dyDescent="0.2">
      <c r="A187" s="184"/>
      <c r="B187" s="186"/>
      <c r="C187" s="186"/>
      <c r="D187" s="186"/>
      <c r="E187" s="186"/>
      <c r="F187" s="186"/>
      <c r="G187" s="334"/>
      <c r="H187" s="332"/>
      <c r="I187" s="332"/>
      <c r="J187" s="332"/>
      <c r="K187" s="332"/>
      <c r="L187" s="332"/>
      <c r="M187" s="332"/>
      <c r="N187" s="332"/>
      <c r="O187" s="332"/>
      <c r="P187" s="332"/>
      <c r="Q187" s="332"/>
      <c r="R187" s="332"/>
      <c r="S187" s="332"/>
      <c r="T187" s="332"/>
      <c r="U187" s="332"/>
      <c r="V187" s="332"/>
      <c r="W187" s="332"/>
      <c r="X187" s="332"/>
      <c r="Y187" s="332"/>
      <c r="Z187" s="332"/>
      <c r="AA187" s="332"/>
      <c r="AB187" s="332"/>
      <c r="AC187" s="332"/>
      <c r="AD187" s="332"/>
      <c r="AE187" s="332"/>
      <c r="AF187" s="332"/>
      <c r="AG187" s="333"/>
      <c r="AH187" s="186"/>
      <c r="AI187" s="186"/>
      <c r="AJ187" s="186"/>
      <c r="AK187" s="334"/>
      <c r="AL187" s="332"/>
      <c r="AM187" s="332"/>
      <c r="AN187" s="332"/>
      <c r="AO187" s="332"/>
      <c r="AP187" s="332"/>
      <c r="AQ187" s="332"/>
      <c r="AR187" s="332"/>
      <c r="AS187" s="332"/>
      <c r="AT187" s="332"/>
      <c r="AU187" s="332"/>
      <c r="AV187" s="332"/>
      <c r="AW187" s="332"/>
      <c r="AX187" s="332"/>
      <c r="AY187" s="332"/>
      <c r="AZ187" s="332"/>
      <c r="BA187" s="332"/>
      <c r="BB187" s="332"/>
      <c r="BC187" s="332"/>
      <c r="BD187" s="332"/>
      <c r="BE187" s="332"/>
      <c r="BF187" s="332"/>
      <c r="BG187" s="332"/>
      <c r="BH187" s="332"/>
      <c r="BI187" s="332"/>
      <c r="BJ187" s="332"/>
      <c r="BK187" s="333"/>
      <c r="BL187" s="184"/>
      <c r="BM187" s="184"/>
      <c r="BN187" s="184"/>
      <c r="BO187" s="184"/>
      <c r="BP187" s="184"/>
      <c r="BQ187" s="184"/>
      <c r="BR187" s="184"/>
      <c r="BS187" s="184"/>
      <c r="BT187" s="184"/>
      <c r="BU187" s="184"/>
      <c r="BV187" s="184"/>
      <c r="BW187" s="184"/>
      <c r="BX187" s="184"/>
      <c r="BY187" s="184"/>
      <c r="BZ187" s="184"/>
      <c r="CA187" s="184"/>
      <c r="CB187" s="184"/>
      <c r="CC187" s="184"/>
      <c r="CD187" s="184"/>
      <c r="CE187" s="184"/>
      <c r="CF187" s="184"/>
      <c r="CG187" s="184"/>
      <c r="CH187" s="184"/>
      <c r="CI187" s="184"/>
      <c r="CJ187" s="184"/>
      <c r="CK187" s="184"/>
      <c r="CL187" s="184"/>
      <c r="CM187" s="184"/>
      <c r="CN187" s="184"/>
      <c r="CO187" s="184"/>
      <c r="CP187" s="184"/>
      <c r="CQ187" s="184"/>
      <c r="CR187" s="184"/>
      <c r="CS187" s="184"/>
      <c r="CT187" s="184"/>
      <c r="CU187" s="184"/>
      <c r="CV187" s="184"/>
      <c r="CW187" s="184"/>
      <c r="CX187" s="184"/>
      <c r="CY187" s="184"/>
      <c r="CZ187" s="184"/>
      <c r="DA187" s="184"/>
      <c r="DB187" s="184"/>
      <c r="DC187" s="184"/>
      <c r="DD187" s="184"/>
      <c r="DE187" s="184"/>
      <c r="DF187" s="184"/>
      <c r="DG187" s="184"/>
      <c r="DH187" s="184"/>
      <c r="DI187" s="184"/>
      <c r="DJ187" s="184"/>
      <c r="DK187" s="184"/>
      <c r="DL187" s="184"/>
      <c r="DM187" s="184"/>
      <c r="DN187" s="184"/>
      <c r="DO187" s="184"/>
      <c r="DP187" s="184"/>
      <c r="DQ187" s="184"/>
      <c r="DR187" s="184"/>
      <c r="DS187" s="184"/>
      <c r="DT187" s="184"/>
      <c r="DU187" s="184"/>
      <c r="DV187" s="184"/>
      <c r="DW187" s="184"/>
      <c r="DX187" s="184"/>
      <c r="DY187" s="184"/>
      <c r="DZ187" s="184"/>
      <c r="EA187" s="224"/>
    </row>
    <row r="188" spans="1:131" hidden="1" x14ac:dyDescent="0.2">
      <c r="A188" s="184"/>
      <c r="B188" s="184"/>
      <c r="C188" s="186"/>
      <c r="D188" s="184"/>
      <c r="E188" s="186"/>
      <c r="F188" s="184"/>
      <c r="G188" s="320"/>
      <c r="H188" s="297"/>
      <c r="I188" s="300" t="e">
        <f>IF(Daten!E528=1,Daten!G535,"")</f>
        <v>#N/A</v>
      </c>
      <c r="J188" s="299"/>
      <c r="K188" s="299"/>
      <c r="L188" s="299"/>
      <c r="M188" s="299"/>
      <c r="N188" s="299"/>
      <c r="O188" s="299"/>
      <c r="P188" s="299"/>
      <c r="Q188" s="299"/>
      <c r="R188" s="299"/>
      <c r="S188" s="299"/>
      <c r="T188" s="299"/>
      <c r="U188" s="299"/>
      <c r="V188" s="299"/>
      <c r="W188" s="299"/>
      <c r="X188" s="299"/>
      <c r="Y188" s="299"/>
      <c r="Z188" s="299"/>
      <c r="AA188" s="299"/>
      <c r="AB188" s="299"/>
      <c r="AC188" s="299"/>
      <c r="AD188" s="299"/>
      <c r="AE188" s="299"/>
      <c r="AF188" s="299"/>
      <c r="AG188" s="319"/>
      <c r="AH188" s="186"/>
      <c r="AI188" s="186"/>
      <c r="AJ188" s="186"/>
      <c r="AK188" s="320"/>
      <c r="AL188" s="297"/>
      <c r="AM188" s="300" t="e">
        <f>IF(Daten!E528=1,Daten!G537,"")</f>
        <v>#N/A</v>
      </c>
      <c r="AN188" s="299"/>
      <c r="AO188" s="299"/>
      <c r="AP188" s="299"/>
      <c r="AQ188" s="299"/>
      <c r="AR188" s="299"/>
      <c r="AS188" s="299"/>
      <c r="AT188" s="299"/>
      <c r="AU188" s="299"/>
      <c r="AV188" s="299"/>
      <c r="AW188" s="299"/>
      <c r="AX188" s="299"/>
      <c r="AY188" s="299"/>
      <c r="AZ188" s="299"/>
      <c r="BA188" s="299"/>
      <c r="BB188" s="299"/>
      <c r="BC188" s="299"/>
      <c r="BD188" s="299"/>
      <c r="BE188" s="299"/>
      <c r="BF188" s="299"/>
      <c r="BG188" s="299"/>
      <c r="BH188" s="299"/>
      <c r="BI188" s="299"/>
      <c r="BJ188" s="299"/>
      <c r="BK188" s="319"/>
      <c r="BL188" s="184"/>
      <c r="BM188" s="184"/>
      <c r="BN188" s="184"/>
      <c r="BO188" s="184"/>
      <c r="BP188" s="184"/>
      <c r="BQ188" s="184"/>
      <c r="BR188" s="184"/>
      <c r="BS188" s="184"/>
      <c r="BT188" s="184"/>
      <c r="BU188" s="184"/>
      <c r="BV188" s="184"/>
      <c r="BW188" s="184"/>
      <c r="BX188" s="184"/>
      <c r="BY188" s="184"/>
      <c r="BZ188" s="184"/>
      <c r="CA188" s="184"/>
      <c r="CB188" s="184"/>
      <c r="CC188" s="184"/>
      <c r="CD188" s="184"/>
      <c r="CE188" s="184"/>
      <c r="CF188" s="184"/>
      <c r="CG188" s="184"/>
      <c r="CH188" s="184"/>
      <c r="CI188" s="184"/>
      <c r="CJ188" s="184"/>
      <c r="CK188" s="184"/>
      <c r="CL188" s="184"/>
      <c r="CM188" s="184"/>
      <c r="CN188" s="184"/>
      <c r="CO188" s="184"/>
      <c r="CP188" s="184"/>
      <c r="CQ188" s="184"/>
      <c r="CR188" s="184"/>
      <c r="CS188" s="184"/>
      <c r="CT188" s="184"/>
      <c r="CU188" s="184"/>
      <c r="CV188" s="184"/>
      <c r="CW188" s="184"/>
      <c r="CX188" s="184"/>
      <c r="CY188" s="184"/>
      <c r="CZ188" s="184"/>
      <c r="DA188" s="184"/>
      <c r="DB188" s="184"/>
      <c r="DC188" s="184"/>
      <c r="DD188" s="184"/>
      <c r="DE188" s="184"/>
      <c r="DF188" s="184"/>
      <c r="DG188" s="184"/>
      <c r="DH188" s="184"/>
      <c r="DI188" s="184"/>
      <c r="DJ188" s="184"/>
      <c r="DK188" s="184"/>
      <c r="DL188" s="184"/>
      <c r="DM188" s="184"/>
      <c r="DN188" s="184"/>
      <c r="DO188" s="184"/>
      <c r="DP188" s="184"/>
      <c r="DQ188" s="184"/>
      <c r="DR188" s="184"/>
      <c r="DS188" s="184"/>
      <c r="DT188" s="184"/>
      <c r="DU188" s="184"/>
      <c r="DV188" s="184"/>
      <c r="DW188" s="184"/>
      <c r="DX188" s="184"/>
      <c r="DY188" s="184"/>
      <c r="DZ188" s="184"/>
      <c r="EA188" s="224"/>
    </row>
    <row r="189" spans="1:131" ht="6.95" hidden="1" customHeight="1" x14ac:dyDescent="0.2">
      <c r="A189" s="184"/>
      <c r="B189" s="186"/>
      <c r="C189" s="186"/>
      <c r="D189" s="186"/>
      <c r="E189" s="186"/>
      <c r="F189" s="184"/>
      <c r="G189" s="320"/>
      <c r="H189" s="297"/>
      <c r="I189" s="299"/>
      <c r="J189" s="299"/>
      <c r="K189" s="299"/>
      <c r="L189" s="299"/>
      <c r="M189" s="299"/>
      <c r="N189" s="299"/>
      <c r="O189" s="299"/>
      <c r="P189" s="299"/>
      <c r="Q189" s="299"/>
      <c r="R189" s="299"/>
      <c r="S189" s="299"/>
      <c r="T189" s="299"/>
      <c r="U189" s="299"/>
      <c r="V189" s="299"/>
      <c r="W189" s="299"/>
      <c r="X189" s="299"/>
      <c r="Y189" s="299"/>
      <c r="Z189" s="299"/>
      <c r="AA189" s="299"/>
      <c r="AB189" s="299"/>
      <c r="AC189" s="299"/>
      <c r="AD189" s="299"/>
      <c r="AE189" s="299"/>
      <c r="AF189" s="299"/>
      <c r="AG189" s="319"/>
      <c r="AH189" s="186"/>
      <c r="AI189" s="186"/>
      <c r="AJ189" s="186"/>
      <c r="AK189" s="320"/>
      <c r="AL189" s="297"/>
      <c r="AM189" s="299"/>
      <c r="AN189" s="299"/>
      <c r="AO189" s="299"/>
      <c r="AP189" s="299"/>
      <c r="AQ189" s="299"/>
      <c r="AR189" s="299"/>
      <c r="AS189" s="299"/>
      <c r="AT189" s="299"/>
      <c r="AU189" s="299"/>
      <c r="AV189" s="299"/>
      <c r="AW189" s="299"/>
      <c r="AX189" s="299"/>
      <c r="AY189" s="299"/>
      <c r="AZ189" s="299"/>
      <c r="BA189" s="299"/>
      <c r="BB189" s="299"/>
      <c r="BC189" s="299"/>
      <c r="BD189" s="299"/>
      <c r="BE189" s="299"/>
      <c r="BF189" s="299"/>
      <c r="BG189" s="299"/>
      <c r="BH189" s="299"/>
      <c r="BI189" s="299"/>
      <c r="BJ189" s="299"/>
      <c r="BK189" s="319"/>
      <c r="BL189" s="184"/>
      <c r="BM189" s="184"/>
      <c r="BN189" s="184"/>
      <c r="BO189" s="184"/>
      <c r="BP189" s="184"/>
      <c r="BQ189" s="184"/>
      <c r="BR189" s="184"/>
      <c r="BS189" s="184"/>
      <c r="BT189" s="184"/>
      <c r="BU189" s="184"/>
      <c r="BV189" s="184"/>
      <c r="BW189" s="184"/>
      <c r="BX189" s="184"/>
      <c r="BY189" s="184"/>
      <c r="BZ189" s="184"/>
      <c r="CA189" s="184"/>
      <c r="CB189" s="184"/>
      <c r="CC189" s="184"/>
      <c r="CD189" s="184"/>
      <c r="CE189" s="184"/>
      <c r="CF189" s="184"/>
      <c r="CG189" s="184"/>
      <c r="CH189" s="184"/>
      <c r="CI189" s="184"/>
      <c r="CJ189" s="184"/>
      <c r="CK189" s="184"/>
      <c r="CL189" s="184"/>
      <c r="CM189" s="184"/>
      <c r="CN189" s="184"/>
      <c r="CO189" s="184"/>
      <c r="CP189" s="184"/>
      <c r="CQ189" s="184"/>
      <c r="CR189" s="184"/>
      <c r="CS189" s="184"/>
      <c r="CT189" s="184"/>
      <c r="CU189" s="184"/>
      <c r="CV189" s="184"/>
      <c r="CW189" s="184"/>
      <c r="CX189" s="184"/>
      <c r="CY189" s="184"/>
      <c r="CZ189" s="184"/>
      <c r="DA189" s="184"/>
      <c r="DB189" s="184"/>
      <c r="DC189" s="184"/>
      <c r="DD189" s="184"/>
      <c r="DE189" s="184"/>
      <c r="DF189" s="184"/>
      <c r="DG189" s="184"/>
      <c r="DH189" s="184"/>
      <c r="DI189" s="184"/>
      <c r="DJ189" s="184"/>
      <c r="DK189" s="184"/>
      <c r="DL189" s="184"/>
      <c r="DM189" s="184"/>
      <c r="DN189" s="184"/>
      <c r="DO189" s="184"/>
      <c r="DP189" s="184"/>
      <c r="DQ189" s="184"/>
      <c r="DR189" s="184"/>
      <c r="DS189" s="184"/>
      <c r="DT189" s="184"/>
      <c r="DU189" s="184"/>
      <c r="DV189" s="184"/>
      <c r="DW189" s="184"/>
      <c r="DX189" s="184"/>
      <c r="DY189" s="184"/>
      <c r="DZ189" s="184"/>
      <c r="EA189" s="224"/>
    </row>
    <row r="190" spans="1:131" hidden="1" x14ac:dyDescent="0.2">
      <c r="A190" s="184"/>
      <c r="B190" s="184"/>
      <c r="C190" s="186"/>
      <c r="D190" s="184"/>
      <c r="E190" s="186"/>
      <c r="F190" s="184"/>
      <c r="G190" s="320"/>
      <c r="H190" s="297"/>
      <c r="I190" s="299" t="e">
        <f>IF(Daten!E528=1,Daten!G540,"")</f>
        <v>#N/A</v>
      </c>
      <c r="J190" s="299"/>
      <c r="K190" s="299"/>
      <c r="L190" s="299"/>
      <c r="M190" s="299"/>
      <c r="N190" s="299"/>
      <c r="O190" s="299"/>
      <c r="P190" s="299"/>
      <c r="Q190" s="299"/>
      <c r="R190" s="299"/>
      <c r="S190" s="299"/>
      <c r="T190" s="299"/>
      <c r="U190" s="297"/>
      <c r="V190" s="297"/>
      <c r="W190" s="297"/>
      <c r="X190" s="297"/>
      <c r="Y190" s="645" t="e">
        <f>IF(Daten!E528=1,Daten!G576,"")</f>
        <v>#N/A</v>
      </c>
      <c r="Z190" s="645"/>
      <c r="AA190" s="645"/>
      <c r="AB190" s="645"/>
      <c r="AC190" s="645"/>
      <c r="AD190" s="645"/>
      <c r="AE190" s="645"/>
      <c r="AF190" s="299"/>
      <c r="AG190" s="319"/>
      <c r="AH190" s="186"/>
      <c r="AI190" s="186"/>
      <c r="AJ190" s="186"/>
      <c r="AK190" s="320"/>
      <c r="AL190" s="297"/>
      <c r="AM190" s="299" t="e">
        <f>IF(Daten!E528=1,Daten!G540,"")</f>
        <v>#N/A</v>
      </c>
      <c r="AN190" s="299"/>
      <c r="AO190" s="299"/>
      <c r="AP190" s="299"/>
      <c r="AQ190" s="299"/>
      <c r="AR190" s="299"/>
      <c r="AS190" s="299"/>
      <c r="AT190" s="299"/>
      <c r="AU190" s="299"/>
      <c r="AV190" s="299"/>
      <c r="AW190" s="299"/>
      <c r="AX190" s="299"/>
      <c r="AY190" s="299"/>
      <c r="AZ190" s="299"/>
      <c r="BA190" s="299"/>
      <c r="BB190" s="299"/>
      <c r="BC190" s="645" t="e">
        <f>IF(Daten!E528=1,Daten!G587,"")</f>
        <v>#N/A</v>
      </c>
      <c r="BD190" s="645"/>
      <c r="BE190" s="645"/>
      <c r="BF190" s="645"/>
      <c r="BG190" s="645"/>
      <c r="BH190" s="645"/>
      <c r="BI190" s="645"/>
      <c r="BJ190" s="299"/>
      <c r="BK190" s="319"/>
      <c r="BL190" s="184"/>
      <c r="BM190" s="184"/>
      <c r="BN190" s="184"/>
      <c r="BO190" s="184"/>
      <c r="BP190" s="184"/>
      <c r="BQ190" s="184"/>
      <c r="BR190" s="184"/>
      <c r="BS190" s="184"/>
      <c r="BT190" s="184"/>
      <c r="BU190" s="184"/>
      <c r="BV190" s="184"/>
      <c r="BW190" s="184"/>
      <c r="BX190" s="184"/>
      <c r="BY190" s="184"/>
      <c r="BZ190" s="184"/>
      <c r="CA190" s="184"/>
      <c r="CB190" s="184"/>
      <c r="CC190" s="184"/>
      <c r="CD190" s="184"/>
      <c r="CE190" s="184"/>
      <c r="CF190" s="184"/>
      <c r="CG190" s="184"/>
      <c r="CH190" s="184"/>
      <c r="CI190" s="184"/>
      <c r="CJ190" s="184"/>
      <c r="CK190" s="184"/>
      <c r="CL190" s="184"/>
      <c r="CM190" s="184"/>
      <c r="CN190" s="184"/>
      <c r="CO190" s="184"/>
      <c r="CP190" s="184"/>
      <c r="CQ190" s="184"/>
      <c r="CR190" s="184"/>
      <c r="CS190" s="184"/>
      <c r="CT190" s="184"/>
      <c r="CU190" s="184"/>
      <c r="CV190" s="184"/>
      <c r="CW190" s="184"/>
      <c r="CX190" s="184"/>
      <c r="CY190" s="184"/>
      <c r="CZ190" s="184"/>
      <c r="DA190" s="184"/>
      <c r="DB190" s="184"/>
      <c r="DC190" s="184"/>
      <c r="DD190" s="184"/>
      <c r="DE190" s="184"/>
      <c r="DF190" s="184"/>
      <c r="DG190" s="184"/>
      <c r="DH190" s="184"/>
      <c r="DI190" s="184"/>
      <c r="DJ190" s="184"/>
      <c r="DK190" s="184"/>
      <c r="DL190" s="184"/>
      <c r="DM190" s="184"/>
      <c r="DN190" s="184"/>
      <c r="DO190" s="184"/>
      <c r="DP190" s="184"/>
      <c r="DQ190" s="184"/>
      <c r="DR190" s="184"/>
      <c r="DS190" s="184"/>
      <c r="DT190" s="184"/>
      <c r="DU190" s="184"/>
      <c r="DV190" s="184"/>
      <c r="DW190" s="184"/>
      <c r="DX190" s="184"/>
      <c r="DY190" s="184"/>
      <c r="DZ190" s="184"/>
      <c r="EA190" s="224"/>
    </row>
    <row r="191" spans="1:131" ht="6.95" hidden="1" customHeight="1" x14ac:dyDescent="0.2">
      <c r="A191" s="184"/>
      <c r="B191" s="186"/>
      <c r="C191" s="186"/>
      <c r="D191" s="186"/>
      <c r="E191" s="186"/>
      <c r="F191" s="184"/>
      <c r="G191" s="320"/>
      <c r="H191" s="297"/>
      <c r="I191" s="299"/>
      <c r="J191" s="299"/>
      <c r="K191" s="299"/>
      <c r="L191" s="299"/>
      <c r="M191" s="299"/>
      <c r="N191" s="299"/>
      <c r="O191" s="299"/>
      <c r="P191" s="299"/>
      <c r="Q191" s="299"/>
      <c r="R191" s="299"/>
      <c r="S191" s="299"/>
      <c r="T191" s="299"/>
      <c r="U191" s="299"/>
      <c r="V191" s="299"/>
      <c r="W191" s="297"/>
      <c r="X191" s="297"/>
      <c r="Y191" s="297"/>
      <c r="Z191" s="297"/>
      <c r="AA191" s="297"/>
      <c r="AB191" s="297"/>
      <c r="AC191" s="297"/>
      <c r="AD191" s="297"/>
      <c r="AE191" s="297"/>
      <c r="AF191" s="299"/>
      <c r="AG191" s="319"/>
      <c r="AH191" s="186"/>
      <c r="AI191" s="186"/>
      <c r="AJ191" s="186"/>
      <c r="AK191" s="320"/>
      <c r="AL191" s="297"/>
      <c r="AM191" s="299"/>
      <c r="AN191" s="299"/>
      <c r="AO191" s="299"/>
      <c r="AP191" s="299"/>
      <c r="AQ191" s="299"/>
      <c r="AR191" s="299"/>
      <c r="AS191" s="299"/>
      <c r="AT191" s="299"/>
      <c r="AU191" s="299"/>
      <c r="AV191" s="299"/>
      <c r="AW191" s="299"/>
      <c r="AX191" s="299"/>
      <c r="AY191" s="299"/>
      <c r="AZ191" s="299"/>
      <c r="BA191" s="299"/>
      <c r="BB191" s="299"/>
      <c r="BC191" s="299"/>
      <c r="BD191" s="299"/>
      <c r="BE191" s="299"/>
      <c r="BF191" s="299"/>
      <c r="BG191" s="299"/>
      <c r="BH191" s="299"/>
      <c r="BI191" s="299"/>
      <c r="BJ191" s="299"/>
      <c r="BK191" s="319"/>
      <c r="BL191" s="184"/>
      <c r="BM191" s="184"/>
      <c r="BN191" s="184"/>
      <c r="BO191" s="184"/>
      <c r="BP191" s="184"/>
      <c r="BQ191" s="184"/>
      <c r="BR191" s="184"/>
      <c r="BS191" s="184"/>
      <c r="BT191" s="184"/>
      <c r="BU191" s="184"/>
      <c r="BV191" s="184"/>
      <c r="BW191" s="184"/>
      <c r="BX191" s="184"/>
      <c r="BY191" s="184"/>
      <c r="BZ191" s="184"/>
      <c r="CA191" s="184"/>
      <c r="CB191" s="184"/>
      <c r="CC191" s="184"/>
      <c r="CD191" s="184"/>
      <c r="CE191" s="184"/>
      <c r="CF191" s="184"/>
      <c r="CG191" s="184"/>
      <c r="CH191" s="184"/>
      <c r="CI191" s="184"/>
      <c r="CJ191" s="184"/>
      <c r="CK191" s="184"/>
      <c r="CL191" s="184"/>
      <c r="CM191" s="184"/>
      <c r="CN191" s="184"/>
      <c r="CO191" s="184"/>
      <c r="CP191" s="184"/>
      <c r="CQ191" s="184"/>
      <c r="CR191" s="184"/>
      <c r="CS191" s="184"/>
      <c r="CT191" s="184"/>
      <c r="CU191" s="184"/>
      <c r="CV191" s="184"/>
      <c r="CW191" s="184"/>
      <c r="CX191" s="184"/>
      <c r="CY191" s="184"/>
      <c r="CZ191" s="184"/>
      <c r="DA191" s="184"/>
      <c r="DB191" s="184"/>
      <c r="DC191" s="184"/>
      <c r="DD191" s="184"/>
      <c r="DE191" s="184"/>
      <c r="DF191" s="184"/>
      <c r="DG191" s="184"/>
      <c r="DH191" s="184"/>
      <c r="DI191" s="184"/>
      <c r="DJ191" s="184"/>
      <c r="DK191" s="184"/>
      <c r="DL191" s="184"/>
      <c r="DM191" s="184"/>
      <c r="DN191" s="184"/>
      <c r="DO191" s="184"/>
      <c r="DP191" s="184"/>
      <c r="DQ191" s="184"/>
      <c r="DR191" s="184"/>
      <c r="DS191" s="184"/>
      <c r="DT191" s="184"/>
      <c r="DU191" s="184"/>
      <c r="DV191" s="184"/>
      <c r="DW191" s="184"/>
      <c r="DX191" s="184"/>
      <c r="DY191" s="184"/>
      <c r="DZ191" s="184"/>
      <c r="EA191" s="224"/>
    </row>
    <row r="192" spans="1:131" ht="12.2" hidden="1" customHeight="1" x14ac:dyDescent="0.2">
      <c r="A192" s="184"/>
      <c r="B192" s="184"/>
      <c r="C192" s="186"/>
      <c r="D192" s="184"/>
      <c r="E192" s="186"/>
      <c r="F192" s="184"/>
      <c r="G192" s="320"/>
      <c r="H192" s="297"/>
      <c r="I192" s="299" t="e">
        <f>IF(Daten!E528=1,Daten!G541,"")</f>
        <v>#N/A</v>
      </c>
      <c r="J192" s="299"/>
      <c r="K192" s="299"/>
      <c r="L192" s="299"/>
      <c r="M192" s="299"/>
      <c r="N192" s="299"/>
      <c r="O192" s="299"/>
      <c r="P192" s="299"/>
      <c r="Q192" s="299"/>
      <c r="R192" s="299"/>
      <c r="S192" s="299"/>
      <c r="T192" s="299"/>
      <c r="U192" s="297"/>
      <c r="V192" s="297"/>
      <c r="W192" s="297"/>
      <c r="X192" s="297"/>
      <c r="Y192" s="645" t="e">
        <f>IF(Daten!E528=1,Daten!D576,"")</f>
        <v>#N/A</v>
      </c>
      <c r="Z192" s="645"/>
      <c r="AA192" s="645"/>
      <c r="AB192" s="645"/>
      <c r="AC192" s="645"/>
      <c r="AD192" s="645"/>
      <c r="AE192" s="645"/>
      <c r="AF192" s="299"/>
      <c r="AG192" s="319"/>
      <c r="AH192" s="186"/>
      <c r="AI192" s="186"/>
      <c r="AJ192" s="186"/>
      <c r="AK192" s="320"/>
      <c r="AL192" s="297"/>
      <c r="AM192" s="299" t="e">
        <f>IF(Daten!E528=1,Daten!G541,"")</f>
        <v>#N/A</v>
      </c>
      <c r="AN192" s="299"/>
      <c r="AO192" s="299"/>
      <c r="AP192" s="299"/>
      <c r="AQ192" s="299"/>
      <c r="AR192" s="299"/>
      <c r="AS192" s="299"/>
      <c r="AT192" s="299"/>
      <c r="AU192" s="299"/>
      <c r="AV192" s="299"/>
      <c r="AW192" s="299"/>
      <c r="AX192" s="299"/>
      <c r="AY192" s="299"/>
      <c r="AZ192" s="299"/>
      <c r="BA192" s="299"/>
      <c r="BB192" s="299"/>
      <c r="BC192" s="645" t="e">
        <f>IF(Daten!E528=1,Daten!D587,"")</f>
        <v>#N/A</v>
      </c>
      <c r="BD192" s="645"/>
      <c r="BE192" s="645"/>
      <c r="BF192" s="645"/>
      <c r="BG192" s="645"/>
      <c r="BH192" s="645"/>
      <c r="BI192" s="645"/>
      <c r="BJ192" s="299"/>
      <c r="BK192" s="319"/>
      <c r="BL192" s="184"/>
      <c r="BM192" s="184"/>
      <c r="BN192" s="184"/>
      <c r="BO192" s="184"/>
      <c r="BP192" s="184"/>
      <c r="BQ192" s="184"/>
      <c r="BR192" s="184"/>
      <c r="BS192" s="184"/>
      <c r="BT192" s="184"/>
      <c r="BU192" s="184"/>
      <c r="BV192" s="184"/>
      <c r="BW192" s="184"/>
      <c r="BX192" s="184"/>
      <c r="BY192" s="184"/>
      <c r="BZ192" s="184"/>
      <c r="CA192" s="184"/>
      <c r="CB192" s="184"/>
      <c r="CC192" s="184"/>
      <c r="CD192" s="184"/>
      <c r="CE192" s="184"/>
      <c r="CF192" s="184"/>
      <c r="CG192" s="184"/>
      <c r="CH192" s="184"/>
      <c r="CI192" s="184"/>
      <c r="CJ192" s="184"/>
      <c r="CK192" s="184"/>
      <c r="CL192" s="184"/>
      <c r="CM192" s="184"/>
      <c r="CN192" s="184"/>
      <c r="CO192" s="184"/>
      <c r="CP192" s="184"/>
      <c r="CQ192" s="184"/>
      <c r="CR192" s="184"/>
      <c r="CS192" s="184"/>
      <c r="CT192" s="184"/>
      <c r="CU192" s="184"/>
      <c r="CV192" s="184"/>
      <c r="CW192" s="184"/>
      <c r="CX192" s="184"/>
      <c r="CY192" s="184"/>
      <c r="CZ192" s="184"/>
      <c r="DA192" s="184"/>
      <c r="DB192" s="184"/>
      <c r="DC192" s="184"/>
      <c r="DD192" s="184"/>
      <c r="DE192" s="184"/>
      <c r="DF192" s="184"/>
      <c r="DG192" s="184"/>
      <c r="DH192" s="184"/>
      <c r="DI192" s="184"/>
      <c r="DJ192" s="184"/>
      <c r="DK192" s="184"/>
      <c r="DL192" s="184"/>
      <c r="DM192" s="184"/>
      <c r="DN192" s="184"/>
      <c r="DO192" s="184"/>
      <c r="DP192" s="184"/>
      <c r="DQ192" s="184"/>
      <c r="DR192" s="184"/>
      <c r="DS192" s="184"/>
      <c r="DT192" s="184"/>
      <c r="DU192" s="184"/>
      <c r="DV192" s="184"/>
      <c r="DW192" s="184"/>
      <c r="DX192" s="184"/>
      <c r="DY192" s="184"/>
      <c r="DZ192" s="184"/>
      <c r="EA192" s="224"/>
    </row>
    <row r="193" spans="1:131" ht="6" hidden="1" customHeight="1" x14ac:dyDescent="0.2">
      <c r="A193" s="184"/>
      <c r="B193" s="184"/>
      <c r="C193" s="186"/>
      <c r="D193" s="186"/>
      <c r="E193" s="186"/>
      <c r="F193" s="186"/>
      <c r="G193" s="322"/>
      <c r="H193" s="323"/>
      <c r="I193" s="323"/>
      <c r="J193" s="323"/>
      <c r="K193" s="323"/>
      <c r="L193" s="323"/>
      <c r="M193" s="323"/>
      <c r="N193" s="323"/>
      <c r="O193" s="323"/>
      <c r="P193" s="323"/>
      <c r="Q193" s="323"/>
      <c r="R193" s="324"/>
      <c r="S193" s="324"/>
      <c r="T193" s="335"/>
      <c r="U193" s="335"/>
      <c r="V193" s="324"/>
      <c r="W193" s="324"/>
      <c r="X193" s="324"/>
      <c r="Y193" s="324"/>
      <c r="Z193" s="324"/>
      <c r="AA193" s="324"/>
      <c r="AB193" s="324"/>
      <c r="AC193" s="323"/>
      <c r="AD193" s="323"/>
      <c r="AE193" s="323"/>
      <c r="AF193" s="323"/>
      <c r="AG193" s="326"/>
      <c r="AH193" s="186"/>
      <c r="AI193" s="186"/>
      <c r="AJ193" s="186"/>
      <c r="AK193" s="322"/>
      <c r="AL193" s="323"/>
      <c r="AM193" s="323"/>
      <c r="AN193" s="323"/>
      <c r="AO193" s="323"/>
      <c r="AP193" s="323"/>
      <c r="AQ193" s="323"/>
      <c r="AR193" s="323"/>
      <c r="AS193" s="323"/>
      <c r="AT193" s="323"/>
      <c r="AU193" s="323"/>
      <c r="AV193" s="323"/>
      <c r="AW193" s="335"/>
      <c r="AX193" s="335"/>
      <c r="AY193" s="335"/>
      <c r="AZ193" s="335"/>
      <c r="BA193" s="335"/>
      <c r="BB193" s="335"/>
      <c r="BC193" s="335"/>
      <c r="BD193" s="323"/>
      <c r="BE193" s="323"/>
      <c r="BF193" s="323"/>
      <c r="BG193" s="323"/>
      <c r="BH193" s="323"/>
      <c r="BI193" s="323"/>
      <c r="BJ193" s="323"/>
      <c r="BK193" s="326"/>
      <c r="BL193" s="184"/>
      <c r="BM193" s="184"/>
      <c r="BN193" s="184"/>
      <c r="BO193" s="184"/>
      <c r="BP193" s="184"/>
      <c r="BQ193" s="184"/>
      <c r="BR193" s="184"/>
      <c r="BS193" s="184"/>
      <c r="BT193" s="184"/>
      <c r="BU193" s="184"/>
      <c r="BV193" s="184"/>
      <c r="BW193" s="184"/>
      <c r="BX193" s="184"/>
      <c r="BY193" s="184"/>
      <c r="BZ193" s="184"/>
      <c r="CA193" s="184"/>
      <c r="CB193" s="184"/>
      <c r="CC193" s="184"/>
      <c r="CD193" s="184"/>
      <c r="CE193" s="184"/>
      <c r="CF193" s="184"/>
      <c r="CG193" s="184"/>
      <c r="CH193" s="184"/>
      <c r="CI193" s="184"/>
      <c r="CJ193" s="184"/>
      <c r="CK193" s="184"/>
      <c r="CL193" s="184"/>
      <c r="CM193" s="184"/>
      <c r="CN193" s="184"/>
      <c r="CO193" s="184"/>
      <c r="CP193" s="184"/>
      <c r="CQ193" s="184"/>
      <c r="CR193" s="184"/>
      <c r="CS193" s="184"/>
      <c r="CT193" s="184"/>
      <c r="CU193" s="184"/>
      <c r="CV193" s="184"/>
      <c r="CW193" s="184"/>
      <c r="CX193" s="184"/>
      <c r="CY193" s="184"/>
      <c r="CZ193" s="184"/>
      <c r="DA193" s="184"/>
      <c r="DB193" s="184"/>
      <c r="DC193" s="184"/>
      <c r="DD193" s="184"/>
      <c r="DE193" s="184"/>
      <c r="DF193" s="184"/>
      <c r="DG193" s="184"/>
      <c r="DH193" s="184"/>
      <c r="DI193" s="184"/>
      <c r="DJ193" s="184"/>
      <c r="DK193" s="184"/>
      <c r="DL193" s="184"/>
      <c r="DM193" s="184"/>
      <c r="DN193" s="184"/>
      <c r="DO193" s="184"/>
      <c r="DP193" s="184"/>
      <c r="DQ193" s="184"/>
      <c r="DR193" s="184"/>
      <c r="DS193" s="184"/>
      <c r="DT193" s="184"/>
      <c r="DU193" s="184"/>
      <c r="DV193" s="184"/>
      <c r="DW193" s="184"/>
      <c r="DX193" s="184"/>
      <c r="DY193" s="184"/>
      <c r="DZ193" s="184"/>
      <c r="EA193" s="224"/>
    </row>
    <row r="194" spans="1:131" ht="11.1" hidden="1" customHeight="1" x14ac:dyDescent="0.2">
      <c r="A194" s="184"/>
      <c r="B194" s="184"/>
      <c r="C194" s="186"/>
      <c r="D194" s="186"/>
      <c r="E194" s="186"/>
      <c r="F194" s="186"/>
      <c r="G194" s="186"/>
      <c r="H194" s="186"/>
      <c r="I194" s="186"/>
      <c r="J194" s="186"/>
      <c r="K194" s="186"/>
      <c r="L194" s="186"/>
      <c r="M194" s="186"/>
      <c r="N194" s="186"/>
      <c r="O194" s="186"/>
      <c r="P194" s="186"/>
      <c r="Q194" s="186"/>
      <c r="R194" s="184"/>
      <c r="S194" s="184"/>
      <c r="T194" s="221"/>
      <c r="U194" s="221"/>
      <c r="V194" s="221"/>
      <c r="W194" s="221"/>
      <c r="X194" s="221"/>
      <c r="Y194" s="221"/>
      <c r="Z194" s="221"/>
      <c r="AA194" s="186"/>
      <c r="AB194" s="186"/>
      <c r="AC194" s="186"/>
      <c r="AD194" s="186"/>
      <c r="AE194" s="186"/>
      <c r="AF194" s="186"/>
      <c r="AG194" s="186"/>
      <c r="AH194" s="186"/>
      <c r="AI194" s="186"/>
      <c r="AJ194" s="186"/>
      <c r="AK194" s="186"/>
      <c r="AL194" s="186"/>
      <c r="AM194" s="186"/>
      <c r="AN194" s="186"/>
      <c r="AO194" s="186"/>
      <c r="AP194" s="186"/>
      <c r="AQ194" s="186"/>
      <c r="AR194" s="186"/>
      <c r="AS194" s="186"/>
      <c r="AT194" s="186"/>
      <c r="AU194" s="186"/>
      <c r="AV194" s="186"/>
      <c r="AW194" s="186"/>
      <c r="AX194" s="186"/>
      <c r="AY194" s="186"/>
      <c r="AZ194" s="186"/>
      <c r="BA194" s="186"/>
      <c r="BB194" s="186"/>
      <c r="BC194" s="186"/>
      <c r="BD194" s="221"/>
      <c r="BE194" s="221"/>
      <c r="BF194" s="221"/>
      <c r="BG194" s="221"/>
      <c r="BH194" s="221"/>
      <c r="BI194" s="221"/>
      <c r="BJ194" s="221"/>
      <c r="BK194" s="186"/>
      <c r="BL194" s="186"/>
      <c r="BM194" s="186"/>
      <c r="BN194" s="186"/>
      <c r="BO194" s="186"/>
      <c r="BP194" s="186"/>
      <c r="BQ194" s="186"/>
      <c r="BR194" s="186"/>
      <c r="BS194" s="186"/>
      <c r="BT194" s="186"/>
      <c r="BU194" s="186"/>
      <c r="BV194" s="186"/>
      <c r="BW194" s="186"/>
      <c r="BX194" s="186"/>
      <c r="BY194" s="186"/>
      <c r="BZ194" s="184"/>
      <c r="CA194" s="184"/>
      <c r="CB194" s="184"/>
      <c r="CC194" s="184"/>
      <c r="CD194" s="184"/>
      <c r="CE194" s="184"/>
      <c r="CF194" s="184"/>
      <c r="CG194" s="184"/>
      <c r="CH194" s="184"/>
      <c r="CI194" s="184"/>
      <c r="CJ194" s="184"/>
      <c r="CK194" s="184"/>
      <c r="CL194" s="184"/>
      <c r="CM194" s="184"/>
      <c r="CN194" s="184"/>
      <c r="CO194" s="184"/>
      <c r="CP194" s="184"/>
      <c r="CQ194" s="184"/>
      <c r="CR194" s="184"/>
      <c r="CS194" s="184"/>
      <c r="CT194" s="184"/>
      <c r="CU194" s="184"/>
      <c r="CV194" s="184"/>
      <c r="CW194" s="184"/>
      <c r="CX194" s="184"/>
      <c r="CY194" s="184"/>
      <c r="CZ194" s="184"/>
      <c r="DA194" s="184"/>
      <c r="DB194" s="184"/>
      <c r="DC194" s="184"/>
      <c r="DD194" s="184"/>
      <c r="DE194" s="184"/>
      <c r="DF194" s="184"/>
      <c r="DG194" s="184"/>
      <c r="DH194" s="184"/>
      <c r="DI194" s="184"/>
      <c r="DJ194" s="184"/>
      <c r="DK194" s="184"/>
      <c r="DL194" s="184"/>
      <c r="DM194" s="184"/>
      <c r="DN194" s="184"/>
      <c r="DO194" s="184"/>
      <c r="DP194" s="184"/>
      <c r="DQ194" s="184"/>
      <c r="DR194" s="184"/>
      <c r="DS194" s="184"/>
      <c r="DT194" s="184"/>
      <c r="DU194" s="184"/>
      <c r="DV194" s="184"/>
      <c r="DW194" s="184"/>
      <c r="DX194" s="184"/>
      <c r="DY194" s="184"/>
      <c r="DZ194" s="184"/>
      <c r="EA194" s="224"/>
    </row>
    <row r="195" spans="1:131" ht="6" hidden="1" customHeight="1" x14ac:dyDescent="0.2">
      <c r="A195" s="184"/>
      <c r="B195" s="186"/>
      <c r="C195" s="186"/>
      <c r="D195" s="186"/>
      <c r="E195" s="186"/>
      <c r="F195" s="186"/>
      <c r="G195" s="334"/>
      <c r="H195" s="332"/>
      <c r="I195" s="332"/>
      <c r="J195" s="332"/>
      <c r="K195" s="332"/>
      <c r="L195" s="332"/>
      <c r="M195" s="332"/>
      <c r="N195" s="332"/>
      <c r="O195" s="332"/>
      <c r="P195" s="332"/>
      <c r="Q195" s="332"/>
      <c r="R195" s="332"/>
      <c r="S195" s="332"/>
      <c r="T195" s="329"/>
      <c r="U195" s="329"/>
      <c r="V195" s="329"/>
      <c r="W195" s="329"/>
      <c r="X195" s="329"/>
      <c r="Y195" s="329"/>
      <c r="Z195" s="329"/>
      <c r="AA195" s="332"/>
      <c r="AB195" s="332"/>
      <c r="AC195" s="332"/>
      <c r="AD195" s="332"/>
      <c r="AE195" s="332"/>
      <c r="AF195" s="332"/>
      <c r="AG195" s="333"/>
      <c r="AH195" s="186"/>
      <c r="AI195" s="186"/>
      <c r="AJ195" s="186"/>
      <c r="AK195" s="334"/>
      <c r="AL195" s="332"/>
      <c r="AM195" s="332"/>
      <c r="AN195" s="332"/>
      <c r="AO195" s="332"/>
      <c r="AP195" s="332"/>
      <c r="AQ195" s="332"/>
      <c r="AR195" s="332"/>
      <c r="AS195" s="332"/>
      <c r="AT195" s="332"/>
      <c r="AU195" s="332"/>
      <c r="AV195" s="332"/>
      <c r="AW195" s="332"/>
      <c r="AX195" s="332"/>
      <c r="AY195" s="332"/>
      <c r="AZ195" s="332"/>
      <c r="BA195" s="332"/>
      <c r="BB195" s="332"/>
      <c r="BC195" s="332"/>
      <c r="BD195" s="332"/>
      <c r="BE195" s="332"/>
      <c r="BF195" s="332"/>
      <c r="BG195" s="332"/>
      <c r="BH195" s="332"/>
      <c r="BI195" s="332"/>
      <c r="BJ195" s="332"/>
      <c r="BK195" s="333"/>
      <c r="BL195" s="184"/>
      <c r="BM195" s="184"/>
      <c r="BN195" s="184"/>
      <c r="BO195" s="184"/>
      <c r="BP195" s="184"/>
      <c r="BQ195" s="184"/>
      <c r="BR195" s="184"/>
      <c r="BS195" s="186"/>
      <c r="BT195" s="184"/>
      <c r="BU195" s="184"/>
      <c r="BV195" s="184"/>
      <c r="BW195" s="184"/>
      <c r="BX195" s="184"/>
      <c r="BY195" s="184"/>
      <c r="BZ195" s="184"/>
      <c r="CA195" s="184"/>
      <c r="CB195" s="184"/>
      <c r="CC195" s="184"/>
      <c r="CD195" s="184"/>
      <c r="CE195" s="184"/>
      <c r="CF195" s="184"/>
      <c r="CG195" s="184"/>
      <c r="CH195" s="184"/>
      <c r="CI195" s="184"/>
      <c r="CJ195" s="184"/>
      <c r="CK195" s="184"/>
      <c r="CL195" s="184"/>
      <c r="CM195" s="184"/>
      <c r="CN195" s="184"/>
      <c r="CO195" s="184"/>
      <c r="CP195" s="184"/>
      <c r="CQ195" s="184"/>
      <c r="CR195" s="184"/>
      <c r="CS195" s="184"/>
      <c r="CT195" s="184"/>
      <c r="CU195" s="184"/>
      <c r="CV195" s="184"/>
      <c r="CW195" s="184"/>
      <c r="CX195" s="184"/>
      <c r="CY195" s="184"/>
      <c r="CZ195" s="184"/>
      <c r="DA195" s="184"/>
      <c r="DB195" s="184"/>
      <c r="DC195" s="184"/>
      <c r="DD195" s="184"/>
      <c r="DE195" s="184"/>
      <c r="DF195" s="184"/>
      <c r="DG195" s="184"/>
      <c r="DH195" s="184"/>
      <c r="DI195" s="184"/>
      <c r="DJ195" s="184"/>
      <c r="DK195" s="184"/>
      <c r="DL195" s="184"/>
      <c r="DM195" s="184"/>
      <c r="DN195" s="184"/>
      <c r="DO195" s="184"/>
      <c r="DP195" s="184"/>
      <c r="DQ195" s="184"/>
      <c r="DR195" s="184"/>
      <c r="DS195" s="184"/>
      <c r="DT195" s="184"/>
      <c r="DU195" s="184"/>
      <c r="DV195" s="184"/>
      <c r="DW195" s="184"/>
      <c r="DX195" s="184"/>
      <c r="DY195" s="184"/>
      <c r="DZ195" s="184"/>
      <c r="EA195" s="224"/>
    </row>
    <row r="196" spans="1:131" hidden="1" x14ac:dyDescent="0.2">
      <c r="A196" s="184"/>
      <c r="B196" s="184"/>
      <c r="C196" s="186"/>
      <c r="D196" s="184"/>
      <c r="E196" s="186"/>
      <c r="F196" s="184"/>
      <c r="G196" s="320"/>
      <c r="H196" s="297"/>
      <c r="I196" s="300" t="e">
        <f>IF(Daten!E528=1,Daten!G536,"")</f>
        <v>#N/A</v>
      </c>
      <c r="J196" s="299"/>
      <c r="K196" s="299"/>
      <c r="L196" s="299"/>
      <c r="M196" s="299"/>
      <c r="N196" s="299"/>
      <c r="O196" s="299"/>
      <c r="P196" s="299"/>
      <c r="Q196" s="299"/>
      <c r="R196" s="299"/>
      <c r="S196" s="299"/>
      <c r="T196" s="299"/>
      <c r="U196" s="299"/>
      <c r="V196" s="299"/>
      <c r="W196" s="299"/>
      <c r="X196" s="299"/>
      <c r="Y196" s="299"/>
      <c r="Z196" s="299"/>
      <c r="AA196" s="299"/>
      <c r="AB196" s="299"/>
      <c r="AC196" s="299"/>
      <c r="AD196" s="299"/>
      <c r="AE196" s="299"/>
      <c r="AF196" s="299"/>
      <c r="AG196" s="319"/>
      <c r="AH196" s="186"/>
      <c r="AI196" s="186"/>
      <c r="AJ196" s="186"/>
      <c r="AK196" s="320"/>
      <c r="AL196" s="297"/>
      <c r="AM196" s="300" t="e">
        <f>IF(Daten!E528=1,Daten!G538,"")</f>
        <v>#N/A</v>
      </c>
      <c r="AN196" s="299"/>
      <c r="AO196" s="299"/>
      <c r="AP196" s="299"/>
      <c r="AQ196" s="299"/>
      <c r="AR196" s="299"/>
      <c r="AS196" s="299"/>
      <c r="AT196" s="299"/>
      <c r="AU196" s="299"/>
      <c r="AV196" s="299"/>
      <c r="AW196" s="299"/>
      <c r="AX196" s="299"/>
      <c r="AY196" s="299"/>
      <c r="AZ196" s="299"/>
      <c r="BA196" s="299"/>
      <c r="BB196" s="299"/>
      <c r="BC196" s="299"/>
      <c r="BD196" s="299"/>
      <c r="BE196" s="299"/>
      <c r="BF196" s="299"/>
      <c r="BG196" s="299"/>
      <c r="BH196" s="299"/>
      <c r="BI196" s="299"/>
      <c r="BJ196" s="299"/>
      <c r="BK196" s="319"/>
      <c r="BL196" s="184"/>
      <c r="BM196" s="184"/>
      <c r="BN196" s="184"/>
      <c r="BO196" s="184"/>
      <c r="BP196" s="184"/>
      <c r="BQ196" s="184"/>
      <c r="BR196" s="184"/>
      <c r="BS196" s="184"/>
      <c r="BT196" s="184"/>
      <c r="BU196" s="184"/>
      <c r="BV196" s="184"/>
      <c r="BW196" s="184"/>
      <c r="BX196" s="184"/>
      <c r="BY196" s="184"/>
      <c r="BZ196" s="184"/>
      <c r="CA196" s="184"/>
      <c r="CB196" s="184"/>
      <c r="CC196" s="184"/>
      <c r="CD196" s="184"/>
      <c r="CE196" s="184"/>
      <c r="CF196" s="184"/>
      <c r="CG196" s="184"/>
      <c r="CH196" s="184"/>
      <c r="CI196" s="184"/>
      <c r="CJ196" s="184"/>
      <c r="CK196" s="184"/>
      <c r="CL196" s="184"/>
      <c r="CM196" s="184"/>
      <c r="CN196" s="184"/>
      <c r="CO196" s="184"/>
      <c r="CP196" s="184"/>
      <c r="CQ196" s="184"/>
      <c r="CR196" s="184"/>
      <c r="CS196" s="184"/>
      <c r="CT196" s="184"/>
      <c r="CU196" s="184"/>
      <c r="CV196" s="184"/>
      <c r="CW196" s="184"/>
      <c r="CX196" s="184"/>
      <c r="CY196" s="184"/>
      <c r="CZ196" s="184"/>
      <c r="DA196" s="184"/>
      <c r="DB196" s="184"/>
      <c r="DC196" s="184"/>
      <c r="DD196" s="184"/>
      <c r="DE196" s="184"/>
      <c r="DF196" s="184"/>
      <c r="DG196" s="184"/>
      <c r="DH196" s="184"/>
      <c r="DI196" s="184"/>
      <c r="DJ196" s="184"/>
      <c r="DK196" s="184"/>
      <c r="DL196" s="184"/>
      <c r="DM196" s="184"/>
      <c r="DN196" s="184"/>
      <c r="DO196" s="184"/>
      <c r="DP196" s="184"/>
      <c r="DQ196" s="184"/>
      <c r="DR196" s="184"/>
      <c r="DS196" s="184"/>
      <c r="DT196" s="184"/>
      <c r="DU196" s="184"/>
      <c r="DV196" s="184"/>
      <c r="DW196" s="184"/>
      <c r="DX196" s="184"/>
      <c r="DY196" s="184"/>
      <c r="DZ196" s="184"/>
      <c r="EA196" s="224"/>
    </row>
    <row r="197" spans="1:131" ht="6.95" hidden="1" customHeight="1" x14ac:dyDescent="0.2">
      <c r="A197" s="184"/>
      <c r="B197" s="186"/>
      <c r="C197" s="186"/>
      <c r="D197" s="186"/>
      <c r="E197" s="186"/>
      <c r="F197" s="184"/>
      <c r="G197" s="320"/>
      <c r="H197" s="297"/>
      <c r="I197" s="299"/>
      <c r="J197" s="299"/>
      <c r="K197" s="299"/>
      <c r="L197" s="299"/>
      <c r="M197" s="299"/>
      <c r="N197" s="299"/>
      <c r="O197" s="299"/>
      <c r="P197" s="299"/>
      <c r="Q197" s="299"/>
      <c r="R197" s="299"/>
      <c r="S197" s="299"/>
      <c r="T197" s="299"/>
      <c r="U197" s="299"/>
      <c r="V197" s="299"/>
      <c r="W197" s="299"/>
      <c r="X197" s="299"/>
      <c r="Y197" s="299"/>
      <c r="Z197" s="299"/>
      <c r="AA197" s="299"/>
      <c r="AB197" s="299"/>
      <c r="AC197" s="299"/>
      <c r="AD197" s="299"/>
      <c r="AE197" s="299"/>
      <c r="AF197" s="299"/>
      <c r="AG197" s="319"/>
      <c r="AH197" s="186"/>
      <c r="AI197" s="186"/>
      <c r="AJ197" s="186"/>
      <c r="AK197" s="320"/>
      <c r="AL197" s="297"/>
      <c r="AM197" s="299"/>
      <c r="AN197" s="299"/>
      <c r="AO197" s="299"/>
      <c r="AP197" s="299"/>
      <c r="AQ197" s="299"/>
      <c r="AR197" s="299"/>
      <c r="AS197" s="299"/>
      <c r="AT197" s="299"/>
      <c r="AU197" s="299"/>
      <c r="AV197" s="299"/>
      <c r="AW197" s="299"/>
      <c r="AX197" s="299"/>
      <c r="AY197" s="299"/>
      <c r="AZ197" s="299"/>
      <c r="BA197" s="299"/>
      <c r="BB197" s="299"/>
      <c r="BC197" s="299"/>
      <c r="BD197" s="299"/>
      <c r="BE197" s="299"/>
      <c r="BF197" s="299"/>
      <c r="BG197" s="299"/>
      <c r="BH197" s="299"/>
      <c r="BI197" s="299"/>
      <c r="BJ197" s="299"/>
      <c r="BK197" s="319"/>
      <c r="BL197" s="184"/>
      <c r="BM197" s="184"/>
      <c r="BN197" s="184"/>
      <c r="BO197" s="184"/>
      <c r="BP197" s="184"/>
      <c r="BQ197" s="184"/>
      <c r="BR197" s="184"/>
      <c r="BS197" s="184"/>
      <c r="BT197" s="184"/>
      <c r="BU197" s="184"/>
      <c r="BV197" s="184"/>
      <c r="BW197" s="184"/>
      <c r="BX197" s="184"/>
      <c r="BY197" s="184"/>
      <c r="BZ197" s="184"/>
      <c r="CA197" s="184"/>
      <c r="CB197" s="184"/>
      <c r="CC197" s="184"/>
      <c r="CD197" s="184"/>
      <c r="CE197" s="184"/>
      <c r="CF197" s="184"/>
      <c r="CG197" s="184"/>
      <c r="CH197" s="184"/>
      <c r="CI197" s="184"/>
      <c r="CJ197" s="184"/>
      <c r="CK197" s="184"/>
      <c r="CL197" s="184"/>
      <c r="CM197" s="184"/>
      <c r="CN197" s="184"/>
      <c r="CO197" s="184"/>
      <c r="CP197" s="184"/>
      <c r="CQ197" s="184"/>
      <c r="CR197" s="184"/>
      <c r="CS197" s="184"/>
      <c r="CT197" s="184"/>
      <c r="CU197" s="184"/>
      <c r="CV197" s="184"/>
      <c r="CW197" s="184"/>
      <c r="CX197" s="184"/>
      <c r="CY197" s="184"/>
      <c r="CZ197" s="184"/>
      <c r="DA197" s="184"/>
      <c r="DB197" s="184"/>
      <c r="DC197" s="184"/>
      <c r="DD197" s="184"/>
      <c r="DE197" s="184"/>
      <c r="DF197" s="184"/>
      <c r="DG197" s="184"/>
      <c r="DH197" s="184"/>
      <c r="DI197" s="184"/>
      <c r="DJ197" s="184"/>
      <c r="DK197" s="184"/>
      <c r="DL197" s="184"/>
      <c r="DM197" s="184"/>
      <c r="DN197" s="184"/>
      <c r="DO197" s="184"/>
      <c r="DP197" s="184"/>
      <c r="DQ197" s="184"/>
      <c r="DR197" s="184"/>
      <c r="DS197" s="184"/>
      <c r="DT197" s="184"/>
      <c r="DU197" s="184"/>
      <c r="DV197" s="184"/>
      <c r="DW197" s="184"/>
      <c r="DX197" s="184"/>
      <c r="DY197" s="184"/>
      <c r="DZ197" s="184"/>
      <c r="EA197" s="224"/>
    </row>
    <row r="198" spans="1:131" hidden="1" x14ac:dyDescent="0.2">
      <c r="A198" s="184"/>
      <c r="B198" s="184"/>
      <c r="C198" s="186"/>
      <c r="D198" s="184"/>
      <c r="E198" s="186"/>
      <c r="F198" s="184"/>
      <c r="G198" s="320"/>
      <c r="H198" s="297"/>
      <c r="I198" s="299" t="e">
        <f>IF(Daten!E528=1,Daten!G540,"")</f>
        <v>#N/A</v>
      </c>
      <c r="J198" s="299"/>
      <c r="K198" s="299"/>
      <c r="L198" s="299"/>
      <c r="M198" s="299"/>
      <c r="N198" s="299"/>
      <c r="O198" s="299"/>
      <c r="P198" s="299"/>
      <c r="Q198" s="299"/>
      <c r="R198" s="299"/>
      <c r="S198" s="299"/>
      <c r="T198" s="299"/>
      <c r="U198" s="297"/>
      <c r="V198" s="297"/>
      <c r="W198" s="297"/>
      <c r="X198" s="297"/>
      <c r="Y198" s="645" t="e">
        <f>IF(Daten!E528=1,Daten!G578,"")</f>
        <v>#N/A</v>
      </c>
      <c r="Z198" s="645"/>
      <c r="AA198" s="645"/>
      <c r="AB198" s="645"/>
      <c r="AC198" s="645"/>
      <c r="AD198" s="645"/>
      <c r="AE198" s="645"/>
      <c r="AF198" s="299"/>
      <c r="AG198" s="319"/>
      <c r="AH198" s="186"/>
      <c r="AI198" s="186"/>
      <c r="AJ198" s="186"/>
      <c r="AK198" s="320"/>
      <c r="AL198" s="297"/>
      <c r="AM198" s="299" t="e">
        <f>IF(Daten!E528=1,Daten!G540,"")</f>
        <v>#N/A</v>
      </c>
      <c r="AN198" s="299"/>
      <c r="AO198" s="299"/>
      <c r="AP198" s="299"/>
      <c r="AQ198" s="299"/>
      <c r="AR198" s="299"/>
      <c r="AS198" s="299"/>
      <c r="AT198" s="299"/>
      <c r="AU198" s="299"/>
      <c r="AV198" s="299"/>
      <c r="AW198" s="299"/>
      <c r="AX198" s="299"/>
      <c r="AY198" s="299"/>
      <c r="AZ198" s="299"/>
      <c r="BA198" s="299"/>
      <c r="BB198" s="299"/>
      <c r="BC198" s="645" t="e">
        <f>IF(Daten!E528=1,Daten!G585,"")</f>
        <v>#N/A</v>
      </c>
      <c r="BD198" s="645"/>
      <c r="BE198" s="645"/>
      <c r="BF198" s="645"/>
      <c r="BG198" s="645"/>
      <c r="BH198" s="645"/>
      <c r="BI198" s="645"/>
      <c r="BJ198" s="299"/>
      <c r="BK198" s="319"/>
      <c r="BL198" s="184"/>
      <c r="BM198" s="184"/>
      <c r="BN198" s="184"/>
      <c r="BO198" s="184"/>
      <c r="BP198" s="184"/>
      <c r="BQ198" s="184"/>
      <c r="BR198" s="184"/>
      <c r="BS198" s="184"/>
      <c r="BT198" s="184"/>
      <c r="BU198" s="184"/>
      <c r="BV198" s="184"/>
      <c r="BW198" s="184"/>
      <c r="BX198" s="184"/>
      <c r="BY198" s="184"/>
      <c r="BZ198" s="184"/>
      <c r="CA198" s="184"/>
      <c r="CB198" s="184"/>
      <c r="CC198" s="184"/>
      <c r="CD198" s="184"/>
      <c r="CE198" s="184"/>
      <c r="CF198" s="184"/>
      <c r="CG198" s="184"/>
      <c r="CH198" s="184"/>
      <c r="CI198" s="184"/>
      <c r="CJ198" s="184"/>
      <c r="CK198" s="184"/>
      <c r="CL198" s="184"/>
      <c r="CM198" s="184"/>
      <c r="CN198" s="184"/>
      <c r="CO198" s="184"/>
      <c r="CP198" s="184"/>
      <c r="CQ198" s="184"/>
      <c r="CR198" s="184"/>
      <c r="CS198" s="184"/>
      <c r="CT198" s="184"/>
      <c r="CU198" s="184"/>
      <c r="CV198" s="184"/>
      <c r="CW198" s="184"/>
      <c r="CX198" s="184"/>
      <c r="CY198" s="184"/>
      <c r="CZ198" s="184"/>
      <c r="DA198" s="184"/>
      <c r="DB198" s="184"/>
      <c r="DC198" s="184"/>
      <c r="DD198" s="184"/>
      <c r="DE198" s="184"/>
      <c r="DF198" s="184"/>
      <c r="DG198" s="184"/>
      <c r="DH198" s="184"/>
      <c r="DI198" s="184"/>
      <c r="DJ198" s="184"/>
      <c r="DK198" s="184"/>
      <c r="DL198" s="184"/>
      <c r="DM198" s="184"/>
      <c r="DN198" s="184"/>
      <c r="DO198" s="184"/>
      <c r="DP198" s="184"/>
      <c r="DQ198" s="184"/>
      <c r="DR198" s="184"/>
      <c r="DS198" s="184"/>
      <c r="DT198" s="184"/>
      <c r="DU198" s="184"/>
      <c r="DV198" s="184"/>
      <c r="DW198" s="184"/>
      <c r="DX198" s="184"/>
      <c r="DY198" s="184"/>
      <c r="DZ198" s="184"/>
      <c r="EA198" s="224"/>
    </row>
    <row r="199" spans="1:131" ht="6.95" hidden="1" customHeight="1" x14ac:dyDescent="0.2">
      <c r="A199" s="184"/>
      <c r="B199" s="186"/>
      <c r="C199" s="186"/>
      <c r="D199" s="186"/>
      <c r="E199" s="186"/>
      <c r="F199" s="184"/>
      <c r="G199" s="320"/>
      <c r="H199" s="297"/>
      <c r="I199" s="299"/>
      <c r="J199" s="299"/>
      <c r="K199" s="299"/>
      <c r="L199" s="299"/>
      <c r="M199" s="299"/>
      <c r="N199" s="299"/>
      <c r="O199" s="299"/>
      <c r="P199" s="299"/>
      <c r="Q199" s="299"/>
      <c r="R199" s="299"/>
      <c r="S199" s="299"/>
      <c r="T199" s="299"/>
      <c r="U199" s="299"/>
      <c r="V199" s="299"/>
      <c r="W199" s="297"/>
      <c r="X199" s="297"/>
      <c r="Y199" s="297"/>
      <c r="Z199" s="297"/>
      <c r="AA199" s="297"/>
      <c r="AB199" s="297"/>
      <c r="AC199" s="297"/>
      <c r="AD199" s="297"/>
      <c r="AE199" s="297"/>
      <c r="AF199" s="299"/>
      <c r="AG199" s="319"/>
      <c r="AH199" s="186"/>
      <c r="AI199" s="186"/>
      <c r="AJ199" s="186"/>
      <c r="AK199" s="320"/>
      <c r="AL199" s="297"/>
      <c r="AM199" s="299"/>
      <c r="AN199" s="299"/>
      <c r="AO199" s="299"/>
      <c r="AP199" s="299"/>
      <c r="AQ199" s="299"/>
      <c r="AR199" s="299"/>
      <c r="AS199" s="299"/>
      <c r="AT199" s="299"/>
      <c r="AU199" s="299"/>
      <c r="AV199" s="299"/>
      <c r="AW199" s="299"/>
      <c r="AX199" s="299"/>
      <c r="AY199" s="299"/>
      <c r="AZ199" s="299"/>
      <c r="BA199" s="299"/>
      <c r="BB199" s="299"/>
      <c r="BC199" s="299"/>
      <c r="BD199" s="299"/>
      <c r="BE199" s="299"/>
      <c r="BF199" s="299"/>
      <c r="BG199" s="299"/>
      <c r="BH199" s="299"/>
      <c r="BI199" s="299"/>
      <c r="BJ199" s="299"/>
      <c r="BK199" s="319"/>
      <c r="BL199" s="184"/>
      <c r="BM199" s="184"/>
      <c r="BN199" s="184"/>
      <c r="BO199" s="184"/>
      <c r="BP199" s="184"/>
      <c r="BQ199" s="184"/>
      <c r="BR199" s="184"/>
      <c r="BS199" s="184"/>
      <c r="BT199" s="184"/>
      <c r="BU199" s="184"/>
      <c r="BV199" s="184"/>
      <c r="BW199" s="184"/>
      <c r="BX199" s="184"/>
      <c r="BY199" s="184"/>
      <c r="BZ199" s="184"/>
      <c r="CA199" s="184"/>
      <c r="CB199" s="184"/>
      <c r="CC199" s="184"/>
      <c r="CD199" s="184"/>
      <c r="CE199" s="184"/>
      <c r="CF199" s="184"/>
      <c r="CG199" s="184"/>
      <c r="CH199" s="184"/>
      <c r="CI199" s="184"/>
      <c r="CJ199" s="184"/>
      <c r="CK199" s="184"/>
      <c r="CL199" s="184"/>
      <c r="CM199" s="184"/>
      <c r="CN199" s="184"/>
      <c r="CO199" s="184"/>
      <c r="CP199" s="184"/>
      <c r="CQ199" s="184"/>
      <c r="CR199" s="184"/>
      <c r="CS199" s="184"/>
      <c r="CT199" s="184"/>
      <c r="CU199" s="184"/>
      <c r="CV199" s="184"/>
      <c r="CW199" s="184"/>
      <c r="CX199" s="184"/>
      <c r="CY199" s="184"/>
      <c r="CZ199" s="184"/>
      <c r="DA199" s="184"/>
      <c r="DB199" s="184"/>
      <c r="DC199" s="184"/>
      <c r="DD199" s="184"/>
      <c r="DE199" s="184"/>
      <c r="DF199" s="184"/>
      <c r="DG199" s="184"/>
      <c r="DH199" s="184"/>
      <c r="DI199" s="184"/>
      <c r="DJ199" s="184"/>
      <c r="DK199" s="184"/>
      <c r="DL199" s="184"/>
      <c r="DM199" s="184"/>
      <c r="DN199" s="184"/>
      <c r="DO199" s="184"/>
      <c r="DP199" s="184"/>
      <c r="DQ199" s="184"/>
      <c r="DR199" s="184"/>
      <c r="DS199" s="184"/>
      <c r="DT199" s="184"/>
      <c r="DU199" s="184"/>
      <c r="DV199" s="184"/>
      <c r="DW199" s="184"/>
      <c r="DX199" s="184"/>
      <c r="DY199" s="184"/>
      <c r="DZ199" s="184"/>
      <c r="EA199" s="224"/>
    </row>
    <row r="200" spans="1:131" hidden="1" x14ac:dyDescent="0.2">
      <c r="A200" s="184"/>
      <c r="B200" s="184"/>
      <c r="C200" s="186"/>
      <c r="D200" s="184"/>
      <c r="E200" s="186"/>
      <c r="F200" s="184"/>
      <c r="G200" s="320"/>
      <c r="H200" s="297"/>
      <c r="I200" s="299" t="e">
        <f>IF(Daten!E528=1,Daten!G541,"")</f>
        <v>#N/A</v>
      </c>
      <c r="J200" s="299"/>
      <c r="K200" s="299"/>
      <c r="L200" s="299"/>
      <c r="M200" s="299"/>
      <c r="N200" s="299"/>
      <c r="O200" s="299"/>
      <c r="P200" s="299"/>
      <c r="Q200" s="299"/>
      <c r="R200" s="299"/>
      <c r="S200" s="299"/>
      <c r="T200" s="299"/>
      <c r="U200" s="297"/>
      <c r="V200" s="297"/>
      <c r="W200" s="297"/>
      <c r="X200" s="297"/>
      <c r="Y200" s="645" t="e">
        <f>IF(Daten!E528=1,Daten!D578,"")</f>
        <v>#N/A</v>
      </c>
      <c r="Z200" s="645"/>
      <c r="AA200" s="645"/>
      <c r="AB200" s="645"/>
      <c r="AC200" s="645"/>
      <c r="AD200" s="645"/>
      <c r="AE200" s="645"/>
      <c r="AF200" s="299"/>
      <c r="AG200" s="319"/>
      <c r="AH200" s="186"/>
      <c r="AI200" s="186"/>
      <c r="AJ200" s="186"/>
      <c r="AK200" s="320"/>
      <c r="AL200" s="297"/>
      <c r="AM200" s="299" t="e">
        <f>IF(Daten!E528=1,Daten!G541,"")</f>
        <v>#N/A</v>
      </c>
      <c r="AN200" s="299"/>
      <c r="AO200" s="299"/>
      <c r="AP200" s="299"/>
      <c r="AQ200" s="299"/>
      <c r="AR200" s="299"/>
      <c r="AS200" s="299"/>
      <c r="AT200" s="299"/>
      <c r="AU200" s="299"/>
      <c r="AV200" s="299"/>
      <c r="AW200" s="299"/>
      <c r="AX200" s="299"/>
      <c r="AY200" s="299"/>
      <c r="AZ200" s="299"/>
      <c r="BA200" s="299"/>
      <c r="BB200" s="299"/>
      <c r="BC200" s="645" t="e">
        <f>IF(Daten!E528=1,Daten!D585,"")</f>
        <v>#N/A</v>
      </c>
      <c r="BD200" s="645"/>
      <c r="BE200" s="645"/>
      <c r="BF200" s="645"/>
      <c r="BG200" s="645"/>
      <c r="BH200" s="645"/>
      <c r="BI200" s="645"/>
      <c r="BJ200" s="299"/>
      <c r="BK200" s="319"/>
      <c r="BL200" s="184"/>
      <c r="BM200" s="184"/>
      <c r="BN200" s="184"/>
      <c r="BO200" s="184"/>
      <c r="BP200" s="184"/>
      <c r="BQ200" s="184"/>
      <c r="BR200" s="184"/>
      <c r="BS200" s="184"/>
      <c r="BT200" s="184"/>
      <c r="BU200" s="184"/>
      <c r="BV200" s="184"/>
      <c r="BW200" s="184"/>
      <c r="BX200" s="184"/>
      <c r="BY200" s="184"/>
      <c r="BZ200" s="184"/>
      <c r="CA200" s="184"/>
      <c r="CB200" s="184"/>
      <c r="CC200" s="184"/>
      <c r="CD200" s="184"/>
      <c r="CE200" s="184"/>
      <c r="CF200" s="184"/>
      <c r="CG200" s="184"/>
      <c r="CH200" s="184"/>
      <c r="CI200" s="184"/>
      <c r="CJ200" s="184"/>
      <c r="CK200" s="184"/>
      <c r="CL200" s="184"/>
      <c r="CM200" s="184"/>
      <c r="CN200" s="184"/>
      <c r="CO200" s="184"/>
      <c r="CP200" s="184"/>
      <c r="CQ200" s="184"/>
      <c r="CR200" s="184"/>
      <c r="CS200" s="184"/>
      <c r="CT200" s="184"/>
      <c r="CU200" s="184"/>
      <c r="CV200" s="184"/>
      <c r="CW200" s="184"/>
      <c r="CX200" s="184"/>
      <c r="CY200" s="184"/>
      <c r="CZ200" s="184"/>
      <c r="DA200" s="184"/>
      <c r="DB200" s="184"/>
      <c r="DC200" s="184"/>
      <c r="DD200" s="184"/>
      <c r="DE200" s="184"/>
      <c r="DF200" s="184"/>
      <c r="DG200" s="184"/>
      <c r="DH200" s="184"/>
      <c r="DI200" s="184"/>
      <c r="DJ200" s="184"/>
      <c r="DK200" s="184"/>
      <c r="DL200" s="184"/>
      <c r="DM200" s="184"/>
      <c r="DN200" s="184"/>
      <c r="DO200" s="184"/>
      <c r="DP200" s="184"/>
      <c r="DQ200" s="184"/>
      <c r="DR200" s="184"/>
      <c r="DS200" s="184"/>
      <c r="DT200" s="184"/>
      <c r="DU200" s="184"/>
      <c r="DV200" s="184"/>
      <c r="DW200" s="184"/>
      <c r="DX200" s="184"/>
      <c r="DY200" s="184"/>
      <c r="DZ200" s="184"/>
      <c r="EA200" s="224"/>
    </row>
    <row r="201" spans="1:131" ht="6" hidden="1" customHeight="1" x14ac:dyDescent="0.2">
      <c r="A201" s="184"/>
      <c r="B201" s="186"/>
      <c r="C201" s="186"/>
      <c r="D201" s="186"/>
      <c r="E201" s="186"/>
      <c r="F201" s="186"/>
      <c r="G201" s="322"/>
      <c r="H201" s="323"/>
      <c r="I201" s="323"/>
      <c r="J201" s="323"/>
      <c r="K201" s="323"/>
      <c r="L201" s="323"/>
      <c r="M201" s="323"/>
      <c r="N201" s="323"/>
      <c r="O201" s="323"/>
      <c r="P201" s="323"/>
      <c r="Q201" s="323"/>
      <c r="R201" s="323"/>
      <c r="S201" s="323"/>
      <c r="T201" s="324"/>
      <c r="U201" s="324"/>
      <c r="V201" s="324"/>
      <c r="W201" s="324"/>
      <c r="X201" s="324"/>
      <c r="Y201" s="324"/>
      <c r="Z201" s="324"/>
      <c r="AA201" s="324"/>
      <c r="AB201" s="323"/>
      <c r="AC201" s="323"/>
      <c r="AD201" s="323"/>
      <c r="AE201" s="323"/>
      <c r="AF201" s="323"/>
      <c r="AG201" s="326"/>
      <c r="AH201" s="186"/>
      <c r="AI201" s="186"/>
      <c r="AJ201" s="186"/>
      <c r="AK201" s="322"/>
      <c r="AL201" s="323"/>
      <c r="AM201" s="323"/>
      <c r="AN201" s="323"/>
      <c r="AO201" s="323"/>
      <c r="AP201" s="323"/>
      <c r="AQ201" s="323"/>
      <c r="AR201" s="323"/>
      <c r="AS201" s="323"/>
      <c r="AT201" s="323"/>
      <c r="AU201" s="323"/>
      <c r="AV201" s="323"/>
      <c r="AW201" s="323"/>
      <c r="AX201" s="323"/>
      <c r="AY201" s="323"/>
      <c r="AZ201" s="323"/>
      <c r="BA201" s="323"/>
      <c r="BB201" s="323"/>
      <c r="BC201" s="323"/>
      <c r="BD201" s="323"/>
      <c r="BE201" s="323"/>
      <c r="BF201" s="323"/>
      <c r="BG201" s="323"/>
      <c r="BH201" s="323"/>
      <c r="BI201" s="323"/>
      <c r="BJ201" s="323"/>
      <c r="BK201" s="326"/>
      <c r="BL201" s="184"/>
      <c r="BM201" s="184"/>
      <c r="BN201" s="184"/>
      <c r="BO201" s="184"/>
      <c r="BP201" s="184"/>
      <c r="BQ201" s="184"/>
      <c r="BR201" s="184"/>
      <c r="BS201" s="186"/>
      <c r="BT201" s="184"/>
      <c r="BU201" s="184"/>
      <c r="BV201" s="184"/>
      <c r="BW201" s="184"/>
      <c r="BX201" s="184"/>
      <c r="BY201" s="184"/>
      <c r="BZ201" s="184"/>
      <c r="CA201" s="184"/>
      <c r="CB201" s="184"/>
      <c r="CC201" s="184"/>
      <c r="CD201" s="184"/>
      <c r="CE201" s="184"/>
      <c r="CF201" s="184"/>
      <c r="CG201" s="184"/>
      <c r="CH201" s="184"/>
      <c r="CI201" s="184"/>
      <c r="CJ201" s="184"/>
      <c r="CK201" s="184"/>
      <c r="CL201" s="184"/>
      <c r="CM201" s="184"/>
      <c r="CN201" s="184"/>
      <c r="CO201" s="184"/>
      <c r="CP201" s="184"/>
      <c r="CQ201" s="184"/>
      <c r="CR201" s="184"/>
      <c r="CS201" s="184"/>
      <c r="CT201" s="184"/>
      <c r="CU201" s="184"/>
      <c r="CV201" s="184"/>
      <c r="CW201" s="184"/>
      <c r="CX201" s="184"/>
      <c r="CY201" s="184"/>
      <c r="CZ201" s="184"/>
      <c r="DA201" s="184"/>
      <c r="DB201" s="184"/>
      <c r="DC201" s="184"/>
      <c r="DD201" s="184"/>
      <c r="DE201" s="184"/>
      <c r="DF201" s="184"/>
      <c r="DG201" s="184"/>
      <c r="DH201" s="184"/>
      <c r="DI201" s="184"/>
      <c r="DJ201" s="184"/>
      <c r="DK201" s="184"/>
      <c r="DL201" s="184"/>
      <c r="DM201" s="184"/>
      <c r="DN201" s="184"/>
      <c r="DO201" s="184"/>
      <c r="DP201" s="184"/>
      <c r="DQ201" s="184"/>
      <c r="DR201" s="184"/>
      <c r="DS201" s="184"/>
      <c r="DT201" s="184"/>
      <c r="DU201" s="184"/>
      <c r="DV201" s="184"/>
      <c r="DW201" s="184"/>
      <c r="DX201" s="184"/>
      <c r="DY201" s="184"/>
      <c r="DZ201" s="184"/>
      <c r="EA201" s="224"/>
    </row>
    <row r="202" spans="1:131" hidden="1" x14ac:dyDescent="0.2">
      <c r="A202" s="184"/>
      <c r="B202" s="186"/>
      <c r="C202" s="186"/>
      <c r="D202" s="186"/>
      <c r="E202" s="186"/>
      <c r="F202" s="186"/>
      <c r="G202" s="186"/>
      <c r="H202" s="186"/>
      <c r="I202" s="186"/>
      <c r="J202" s="186"/>
      <c r="K202" s="186"/>
      <c r="L202" s="186"/>
      <c r="M202" s="186"/>
      <c r="N202" s="186"/>
      <c r="O202" s="186"/>
      <c r="P202" s="186"/>
      <c r="Q202" s="186"/>
      <c r="R202" s="186"/>
      <c r="S202" s="186"/>
      <c r="T202" s="186"/>
      <c r="U202" s="186"/>
      <c r="V202" s="186"/>
      <c r="W202" s="186"/>
      <c r="X202" s="186"/>
      <c r="Y202" s="186"/>
      <c r="Z202" s="186"/>
      <c r="AA202" s="186"/>
      <c r="AB202" s="186"/>
      <c r="AC202" s="186"/>
      <c r="AD202" s="186"/>
      <c r="AE202" s="186"/>
      <c r="AF202" s="186"/>
      <c r="AG202" s="186"/>
      <c r="AH202" s="186"/>
      <c r="AI202" s="186"/>
      <c r="AJ202" s="186"/>
      <c r="AK202" s="186"/>
      <c r="AL202" s="186"/>
      <c r="AM202" s="186"/>
      <c r="AN202" s="186"/>
      <c r="AO202" s="186"/>
      <c r="AP202" s="186"/>
      <c r="AQ202" s="186"/>
      <c r="AR202" s="186"/>
      <c r="AS202" s="186"/>
      <c r="AT202" s="186"/>
      <c r="AU202" s="186"/>
      <c r="AV202" s="186"/>
      <c r="AW202" s="186"/>
      <c r="AX202" s="186"/>
      <c r="AY202" s="186"/>
      <c r="AZ202" s="186"/>
      <c r="BA202" s="186"/>
      <c r="BB202" s="186"/>
      <c r="BC202" s="186"/>
      <c r="BD202" s="186"/>
      <c r="BE202" s="186"/>
      <c r="BF202" s="186"/>
      <c r="BG202" s="186"/>
      <c r="BH202" s="186"/>
      <c r="BI202" s="186"/>
      <c r="BJ202" s="186"/>
      <c r="BK202" s="186"/>
      <c r="BL202" s="186"/>
      <c r="BM202" s="186"/>
      <c r="BN202" s="186"/>
      <c r="BO202" s="186"/>
      <c r="BP202" s="186"/>
      <c r="BQ202" s="186"/>
      <c r="BR202" s="186"/>
      <c r="BS202" s="186"/>
      <c r="BT202" s="186"/>
      <c r="BU202" s="186"/>
      <c r="BV202" s="186"/>
      <c r="BW202" s="186"/>
      <c r="BX202" s="186"/>
      <c r="BY202" s="186"/>
      <c r="BZ202" s="184"/>
      <c r="CA202" s="184"/>
      <c r="CB202" s="184"/>
      <c r="CC202" s="184"/>
      <c r="CD202" s="184"/>
      <c r="CE202" s="184"/>
      <c r="CF202" s="184"/>
      <c r="CG202" s="184"/>
      <c r="CH202" s="184"/>
      <c r="CI202" s="184"/>
      <c r="CJ202" s="184"/>
      <c r="CK202" s="184"/>
      <c r="CL202" s="184"/>
      <c r="CM202" s="184"/>
      <c r="CN202" s="184"/>
      <c r="CO202" s="184"/>
      <c r="CP202" s="184"/>
      <c r="CQ202" s="184"/>
      <c r="CR202" s="184"/>
      <c r="CS202" s="184"/>
      <c r="CT202" s="184"/>
      <c r="CU202" s="184"/>
      <c r="CV202" s="184"/>
      <c r="CW202" s="184"/>
      <c r="CX202" s="184"/>
      <c r="CY202" s="184"/>
      <c r="CZ202" s="184"/>
      <c r="DA202" s="184"/>
      <c r="DB202" s="184"/>
      <c r="DC202" s="184"/>
      <c r="DD202" s="184"/>
      <c r="DE202" s="184"/>
      <c r="DF202" s="184"/>
      <c r="DG202" s="184"/>
      <c r="DH202" s="184"/>
      <c r="DI202" s="184"/>
      <c r="DJ202" s="184"/>
      <c r="DK202" s="184"/>
      <c r="DL202" s="184"/>
      <c r="DM202" s="184"/>
      <c r="DN202" s="184"/>
      <c r="DO202" s="184"/>
      <c r="DP202" s="184"/>
      <c r="DQ202" s="184"/>
      <c r="DR202" s="184"/>
      <c r="DS202" s="184"/>
      <c r="DT202" s="184"/>
      <c r="DU202" s="184"/>
      <c r="DV202" s="184"/>
      <c r="DW202" s="184"/>
      <c r="DX202" s="184"/>
      <c r="DY202" s="184"/>
      <c r="DZ202" s="184"/>
      <c r="EA202" s="224"/>
    </row>
    <row r="203" spans="1:131" hidden="1" x14ac:dyDescent="0.2">
      <c r="A203" s="184"/>
      <c r="B203" s="186"/>
      <c r="C203" s="186"/>
      <c r="D203" s="186"/>
      <c r="E203" s="186"/>
      <c r="F203" s="186"/>
      <c r="G203" s="186"/>
      <c r="H203" s="186"/>
      <c r="I203" s="186"/>
      <c r="J203" s="186"/>
      <c r="K203" s="186"/>
      <c r="L203" s="186"/>
      <c r="M203" s="186"/>
      <c r="N203" s="186"/>
      <c r="O203" s="186"/>
      <c r="P203" s="186"/>
      <c r="Q203" s="186"/>
      <c r="R203" s="186"/>
      <c r="S203" s="186"/>
      <c r="T203" s="186"/>
      <c r="U203" s="186"/>
      <c r="V203" s="186"/>
      <c r="W203" s="186"/>
      <c r="X203" s="186"/>
      <c r="Y203" s="186"/>
      <c r="Z203" s="186"/>
      <c r="AA203" s="186"/>
      <c r="AB203" s="186"/>
      <c r="AC203" s="186"/>
      <c r="AD203" s="186"/>
      <c r="AE203" s="186"/>
      <c r="AF203" s="186"/>
      <c r="AG203" s="186"/>
      <c r="AH203" s="186"/>
      <c r="AI203" s="186"/>
      <c r="AJ203" s="186"/>
      <c r="AK203" s="186"/>
      <c r="AL203" s="186"/>
      <c r="AM203" s="186"/>
      <c r="AN203" s="186"/>
      <c r="AO203" s="186"/>
      <c r="AP203" s="186"/>
      <c r="AQ203" s="186"/>
      <c r="AR203" s="186"/>
      <c r="AS203" s="186"/>
      <c r="AT203" s="186"/>
      <c r="AU203" s="186"/>
      <c r="AV203" s="186"/>
      <c r="AW203" s="186"/>
      <c r="AX203" s="186"/>
      <c r="AY203" s="186"/>
      <c r="AZ203" s="186"/>
      <c r="BA203" s="186"/>
      <c r="BB203" s="186"/>
      <c r="BC203" s="186"/>
      <c r="BD203" s="186"/>
      <c r="BE203" s="186"/>
      <c r="BF203" s="186"/>
      <c r="BG203" s="186"/>
      <c r="BH203" s="186"/>
      <c r="BI203" s="186"/>
      <c r="BJ203" s="186"/>
      <c r="BK203" s="186"/>
      <c r="BL203" s="186"/>
      <c r="BM203" s="186"/>
      <c r="BN203" s="186"/>
      <c r="BO203" s="186"/>
      <c r="BP203" s="186"/>
      <c r="BQ203" s="186"/>
      <c r="BR203" s="186"/>
      <c r="BS203" s="186"/>
      <c r="BT203" s="186"/>
      <c r="BU203" s="186"/>
      <c r="BV203" s="186"/>
      <c r="BW203" s="186"/>
      <c r="BX203" s="186"/>
      <c r="BY203" s="184"/>
      <c r="BZ203" s="184"/>
      <c r="CA203" s="184"/>
      <c r="CB203" s="184"/>
      <c r="CC203" s="184"/>
      <c r="CD203" s="184"/>
      <c r="CE203" s="184"/>
      <c r="CF203" s="184"/>
      <c r="CG203" s="184"/>
      <c r="CH203" s="184"/>
      <c r="CI203" s="184"/>
      <c r="CJ203" s="184"/>
      <c r="CK203" s="184"/>
      <c r="CL203" s="184"/>
      <c r="CM203" s="184"/>
      <c r="CN203" s="184"/>
      <c r="CO203" s="184"/>
      <c r="CP203" s="184"/>
      <c r="CQ203" s="184"/>
      <c r="CR203" s="184"/>
      <c r="CS203" s="184"/>
      <c r="CT203" s="184"/>
      <c r="CU203" s="184"/>
      <c r="CV203" s="184"/>
      <c r="CW203" s="184"/>
      <c r="CX203" s="184"/>
      <c r="CY203" s="184"/>
      <c r="CZ203" s="184"/>
      <c r="DA203" s="184"/>
      <c r="DB203" s="184"/>
      <c r="DC203" s="184"/>
      <c r="DD203" s="184"/>
      <c r="DE203" s="184"/>
      <c r="DF203" s="184"/>
      <c r="DG203" s="184"/>
      <c r="DH203" s="184"/>
      <c r="DI203" s="184"/>
      <c r="DJ203" s="184"/>
      <c r="DK203" s="184"/>
      <c r="DL203" s="184"/>
      <c r="DM203" s="184"/>
      <c r="DN203" s="184"/>
      <c r="DO203" s="184"/>
      <c r="DP203" s="184"/>
      <c r="DQ203" s="184"/>
      <c r="DR203" s="184"/>
      <c r="DS203" s="184"/>
      <c r="DT203" s="184"/>
      <c r="DU203" s="184"/>
      <c r="DV203" s="184"/>
      <c r="DW203" s="184"/>
      <c r="DX203" s="184"/>
      <c r="DY203" s="184"/>
      <c r="DZ203" s="184"/>
      <c r="EA203" s="224"/>
    </row>
    <row r="204" spans="1:131" hidden="1" x14ac:dyDescent="0.2">
      <c r="A204" s="184"/>
      <c r="B204" s="186"/>
      <c r="C204" s="186"/>
      <c r="D204" s="186"/>
      <c r="E204" s="186"/>
      <c r="F204" s="186"/>
      <c r="G204" s="186"/>
      <c r="H204" s="186"/>
      <c r="I204" s="186"/>
      <c r="J204" s="186"/>
      <c r="K204" s="186"/>
      <c r="L204" s="186"/>
      <c r="M204" s="186"/>
      <c r="N204" s="186"/>
      <c r="O204" s="186"/>
      <c r="P204" s="186"/>
      <c r="Q204" s="186"/>
      <c r="R204" s="186"/>
      <c r="S204" s="186"/>
      <c r="T204" s="186"/>
      <c r="U204" s="186"/>
      <c r="V204" s="186"/>
      <c r="W204" s="186"/>
      <c r="X204" s="186"/>
      <c r="Y204" s="186"/>
      <c r="Z204" s="186"/>
      <c r="AA204" s="186"/>
      <c r="AB204" s="186"/>
      <c r="AC204" s="186"/>
      <c r="AD204" s="186"/>
      <c r="AE204" s="186"/>
      <c r="AF204" s="186"/>
      <c r="AG204" s="186"/>
      <c r="AH204" s="186"/>
      <c r="AI204" s="186"/>
      <c r="AJ204" s="186"/>
      <c r="AK204" s="186"/>
      <c r="AL204" s="186"/>
      <c r="AM204" s="186"/>
      <c r="AN204" s="186"/>
      <c r="AO204" s="186"/>
      <c r="AP204" s="186"/>
      <c r="AQ204" s="186"/>
      <c r="AR204" s="186"/>
      <c r="AS204" s="186"/>
      <c r="AT204" s="186"/>
      <c r="AU204" s="186"/>
      <c r="AV204" s="186"/>
      <c r="AW204" s="186"/>
      <c r="AX204" s="186"/>
      <c r="AY204" s="186"/>
      <c r="AZ204" s="186"/>
      <c r="BA204" s="186"/>
      <c r="BB204" s="186"/>
      <c r="BC204" s="186"/>
      <c r="BD204" s="186"/>
      <c r="BE204" s="186"/>
      <c r="BF204" s="186"/>
      <c r="BG204" s="186"/>
      <c r="BH204" s="186"/>
      <c r="BI204" s="186"/>
      <c r="BJ204" s="186"/>
      <c r="BK204" s="186"/>
      <c r="BL204" s="186"/>
      <c r="BM204" s="186"/>
      <c r="BN204" s="186"/>
      <c r="BO204" s="186"/>
      <c r="BP204" s="186"/>
      <c r="BQ204" s="186"/>
      <c r="BR204" s="186"/>
      <c r="BS204" s="186"/>
      <c r="BT204" s="186"/>
      <c r="BU204" s="186"/>
      <c r="BV204" s="186"/>
      <c r="BW204" s="186"/>
      <c r="BX204" s="186"/>
      <c r="BY204" s="186"/>
      <c r="BZ204" s="184"/>
      <c r="CA204" s="184"/>
      <c r="CB204" s="184"/>
      <c r="CC204" s="184"/>
      <c r="CD204" s="184"/>
      <c r="CE204" s="184"/>
      <c r="CF204" s="184"/>
      <c r="CG204" s="184"/>
      <c r="CH204" s="184"/>
      <c r="CI204" s="184"/>
      <c r="CJ204" s="184"/>
      <c r="CK204" s="184"/>
      <c r="CL204" s="184"/>
      <c r="CM204" s="184"/>
      <c r="CN204" s="184"/>
      <c r="CO204" s="184"/>
      <c r="CP204" s="184"/>
      <c r="CQ204" s="184"/>
      <c r="CR204" s="184"/>
      <c r="CS204" s="184"/>
      <c r="CT204" s="184"/>
      <c r="CU204" s="184"/>
      <c r="CV204" s="184"/>
      <c r="CW204" s="184"/>
      <c r="CX204" s="184"/>
      <c r="CY204" s="184"/>
      <c r="CZ204" s="184"/>
      <c r="DA204" s="184"/>
      <c r="DB204" s="184"/>
      <c r="DC204" s="184"/>
      <c r="DD204" s="184"/>
      <c r="DE204" s="184"/>
      <c r="DF204" s="184"/>
      <c r="DG204" s="184"/>
      <c r="DH204" s="184"/>
      <c r="DI204" s="184"/>
      <c r="DJ204" s="184"/>
      <c r="DK204" s="184"/>
      <c r="DL204" s="184"/>
      <c r="DM204" s="184"/>
      <c r="DN204" s="184"/>
      <c r="DO204" s="184"/>
      <c r="DP204" s="184"/>
      <c r="DQ204" s="184"/>
      <c r="DR204" s="184"/>
      <c r="DS204" s="184"/>
      <c r="DT204" s="184"/>
      <c r="DU204" s="184"/>
      <c r="DV204" s="184"/>
      <c r="DW204" s="184"/>
      <c r="DX204" s="184"/>
      <c r="DY204" s="184"/>
      <c r="DZ204" s="184"/>
      <c r="EA204" s="224"/>
    </row>
    <row r="205" spans="1:131" hidden="1" x14ac:dyDescent="0.2">
      <c r="A205" s="184"/>
      <c r="B205" s="186"/>
      <c r="C205" s="186"/>
      <c r="D205" s="186"/>
      <c r="E205" s="186"/>
      <c r="F205" s="186"/>
      <c r="G205" s="186"/>
      <c r="H205" s="186"/>
      <c r="I205" s="186"/>
      <c r="J205" s="186"/>
      <c r="K205" s="186"/>
      <c r="L205" s="186"/>
      <c r="M205" s="186"/>
      <c r="N205" s="186"/>
      <c r="O205" s="186"/>
      <c r="P205" s="186"/>
      <c r="Q205" s="186"/>
      <c r="R205" s="186"/>
      <c r="S205" s="186"/>
      <c r="T205" s="186"/>
      <c r="U205" s="186"/>
      <c r="V205" s="186"/>
      <c r="W205" s="186"/>
      <c r="X205" s="186"/>
      <c r="Y205" s="186"/>
      <c r="Z205" s="186"/>
      <c r="AA205" s="186"/>
      <c r="AB205" s="186"/>
      <c r="AC205" s="186"/>
      <c r="AD205" s="186"/>
      <c r="AE205" s="186"/>
      <c r="AF205" s="186"/>
      <c r="AG205" s="186"/>
      <c r="AH205" s="186"/>
      <c r="AI205" s="186"/>
      <c r="AJ205" s="186"/>
      <c r="AK205" s="186"/>
      <c r="AL205" s="186"/>
      <c r="AM205" s="186"/>
      <c r="AN205" s="186"/>
      <c r="AO205" s="186"/>
      <c r="AP205" s="186"/>
      <c r="AQ205" s="186"/>
      <c r="AR205" s="186"/>
      <c r="AS205" s="186"/>
      <c r="AT205" s="186"/>
      <c r="AU205" s="186"/>
      <c r="AV205" s="186"/>
      <c r="AW205" s="186"/>
      <c r="AX205" s="186"/>
      <c r="AY205" s="186"/>
      <c r="AZ205" s="186"/>
      <c r="BA205" s="186"/>
      <c r="BB205" s="186"/>
      <c r="BC205" s="186"/>
      <c r="BD205" s="186"/>
      <c r="BE205" s="186"/>
      <c r="BF205" s="186"/>
      <c r="BG205" s="186"/>
      <c r="BH205" s="186"/>
      <c r="BI205" s="186"/>
      <c r="BJ205" s="186"/>
      <c r="BK205" s="186"/>
      <c r="BL205" s="186"/>
      <c r="BM205" s="186"/>
      <c r="BN205" s="186"/>
      <c r="BO205" s="186"/>
      <c r="BP205" s="186"/>
      <c r="BQ205" s="186"/>
      <c r="BR205" s="186"/>
      <c r="BS205" s="186"/>
      <c r="BT205" s="186"/>
      <c r="BU205" s="186"/>
      <c r="BV205" s="186"/>
      <c r="BW205" s="186"/>
      <c r="BX205" s="186"/>
      <c r="BY205" s="186"/>
      <c r="BZ205" s="184"/>
      <c r="CA205" s="184"/>
      <c r="CB205" s="184"/>
      <c r="CC205" s="184"/>
      <c r="CD205" s="184"/>
      <c r="CE205" s="184"/>
      <c r="CF205" s="184"/>
      <c r="CG205" s="184"/>
      <c r="CH205" s="184"/>
      <c r="CI205" s="184"/>
      <c r="CJ205" s="184"/>
      <c r="CK205" s="184"/>
      <c r="CL205" s="184"/>
      <c r="CM205" s="184"/>
      <c r="CN205" s="184"/>
      <c r="CO205" s="184"/>
      <c r="CP205" s="184"/>
      <c r="CQ205" s="184"/>
      <c r="CR205" s="184"/>
      <c r="CS205" s="184"/>
      <c r="CT205" s="184"/>
      <c r="CU205" s="184"/>
      <c r="CV205" s="184"/>
      <c r="CW205" s="184"/>
      <c r="CX205" s="184"/>
      <c r="CY205" s="184"/>
      <c r="CZ205" s="184"/>
      <c r="DA205" s="184"/>
      <c r="DB205" s="184"/>
      <c r="DC205" s="184"/>
      <c r="DD205" s="184"/>
      <c r="DE205" s="184"/>
      <c r="DF205" s="184"/>
      <c r="DG205" s="184"/>
      <c r="DH205" s="184"/>
      <c r="DI205" s="184"/>
      <c r="DJ205" s="184"/>
      <c r="DK205" s="184"/>
      <c r="DL205" s="184"/>
      <c r="DM205" s="184"/>
      <c r="DN205" s="184"/>
      <c r="DO205" s="184"/>
      <c r="DP205" s="184"/>
      <c r="DQ205" s="184"/>
      <c r="DR205" s="184"/>
      <c r="DS205" s="184"/>
      <c r="DT205" s="184"/>
      <c r="DU205" s="184"/>
      <c r="DV205" s="184"/>
      <c r="DW205" s="184"/>
      <c r="DX205" s="184"/>
      <c r="DY205" s="184"/>
      <c r="DZ205" s="184"/>
      <c r="EA205" s="224"/>
    </row>
    <row r="206" spans="1:131" x14ac:dyDescent="0.2">
      <c r="A206" s="184"/>
      <c r="B206" s="186"/>
      <c r="C206" s="186"/>
      <c r="D206" s="186"/>
      <c r="E206" s="186"/>
      <c r="F206" s="186"/>
      <c r="G206" s="186"/>
      <c r="H206" s="186"/>
      <c r="I206" s="186"/>
      <c r="J206" s="186"/>
      <c r="K206" s="186"/>
      <c r="L206" s="186"/>
      <c r="M206" s="186"/>
      <c r="N206" s="186"/>
      <c r="O206" s="186"/>
      <c r="P206" s="186"/>
      <c r="Q206" s="186"/>
      <c r="R206" s="186"/>
      <c r="S206" s="186"/>
      <c r="T206" s="186"/>
      <c r="U206" s="186"/>
      <c r="V206" s="186"/>
      <c r="W206" s="186"/>
      <c r="X206" s="186"/>
      <c r="Y206" s="186"/>
      <c r="Z206" s="186"/>
      <c r="AA206" s="186"/>
      <c r="AB206" s="186"/>
      <c r="AC206" s="186"/>
      <c r="AD206" s="186"/>
      <c r="AE206" s="186"/>
      <c r="AF206" s="186"/>
      <c r="AG206" s="186"/>
      <c r="AH206" s="186"/>
      <c r="AI206" s="186"/>
      <c r="AJ206" s="186"/>
      <c r="AK206" s="186"/>
      <c r="AL206" s="186"/>
      <c r="AM206" s="186"/>
      <c r="AN206" s="186"/>
      <c r="AO206" s="186"/>
      <c r="AP206" s="186"/>
      <c r="AQ206" s="186"/>
      <c r="AR206" s="186"/>
      <c r="AS206" s="186"/>
      <c r="AT206" s="186"/>
      <c r="AU206" s="186"/>
      <c r="AV206" s="186"/>
      <c r="AW206" s="186"/>
      <c r="AX206" s="186"/>
      <c r="AY206" s="186"/>
      <c r="AZ206" s="186"/>
      <c r="BA206" s="186"/>
      <c r="BB206" s="186"/>
      <c r="BC206" s="186"/>
      <c r="BD206" s="186"/>
      <c r="BE206" s="186"/>
      <c r="BF206" s="186"/>
      <c r="BG206" s="186"/>
      <c r="BH206" s="186"/>
      <c r="BI206" s="186"/>
      <c r="BJ206" s="186"/>
      <c r="BK206" s="186"/>
      <c r="BL206" s="186"/>
      <c r="BM206" s="186"/>
      <c r="BN206" s="186"/>
      <c r="BO206" s="186"/>
      <c r="BP206" s="186"/>
      <c r="BQ206" s="186"/>
      <c r="BR206" s="186"/>
      <c r="BS206" s="186"/>
      <c r="BT206" s="186"/>
      <c r="BU206" s="186"/>
      <c r="BV206" s="186"/>
      <c r="BW206" s="186"/>
      <c r="BX206" s="186"/>
      <c r="BY206" s="186"/>
      <c r="BZ206" s="184"/>
      <c r="CA206" s="184"/>
      <c r="CB206" s="184"/>
      <c r="CC206" s="184"/>
      <c r="CD206" s="184"/>
      <c r="CE206" s="184"/>
      <c r="CF206" s="184"/>
      <c r="CG206" s="184"/>
      <c r="CH206" s="184"/>
      <c r="CI206" s="184"/>
      <c r="CJ206" s="184"/>
      <c r="CK206" s="184"/>
      <c r="CL206" s="184"/>
      <c r="CM206" s="184"/>
      <c r="CN206" s="184"/>
      <c r="CO206" s="184"/>
      <c r="CP206" s="184"/>
      <c r="CQ206" s="184"/>
      <c r="CR206" s="184"/>
      <c r="CS206" s="184"/>
      <c r="CT206" s="184"/>
      <c r="CU206" s="184"/>
      <c r="CV206" s="184"/>
      <c r="CW206" s="184"/>
      <c r="CX206" s="184"/>
      <c r="CY206" s="184"/>
      <c r="CZ206" s="184"/>
      <c r="DA206" s="184"/>
      <c r="DB206" s="184"/>
      <c r="DC206" s="184"/>
      <c r="DD206" s="184"/>
      <c r="DE206" s="184"/>
      <c r="DF206" s="184"/>
      <c r="DG206" s="184"/>
      <c r="DH206" s="184"/>
      <c r="DI206" s="184"/>
      <c r="DJ206" s="184"/>
      <c r="DK206" s="184"/>
      <c r="DL206" s="184"/>
      <c r="DM206" s="184"/>
      <c r="DN206" s="184"/>
      <c r="DO206" s="184"/>
      <c r="DP206" s="184"/>
      <c r="DQ206" s="184"/>
      <c r="DR206" s="184"/>
      <c r="DS206" s="184"/>
      <c r="DT206" s="184"/>
      <c r="DU206" s="184"/>
      <c r="DV206" s="184"/>
      <c r="DW206" s="184"/>
      <c r="DX206" s="184"/>
      <c r="DY206" s="184"/>
      <c r="DZ206" s="184"/>
      <c r="EA206" s="224"/>
    </row>
    <row r="207" spans="1:131" x14ac:dyDescent="0.2">
      <c r="A207" s="184"/>
      <c r="B207" s="186"/>
      <c r="C207" s="186"/>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186"/>
      <c r="AA207" s="186"/>
      <c r="AB207" s="186"/>
      <c r="AC207" s="186"/>
      <c r="AD207" s="186"/>
      <c r="AE207" s="186"/>
      <c r="AF207" s="186"/>
      <c r="AG207" s="186"/>
      <c r="AH207" s="186"/>
      <c r="AI207" s="186"/>
      <c r="AJ207" s="186"/>
      <c r="AK207" s="186"/>
      <c r="AL207" s="186"/>
      <c r="AM207" s="186"/>
      <c r="AN207" s="186"/>
      <c r="AO207" s="186"/>
      <c r="AP207" s="186"/>
      <c r="AQ207" s="186"/>
      <c r="AR207" s="186"/>
      <c r="AS207" s="186"/>
      <c r="AT207" s="186"/>
      <c r="AU207" s="186"/>
      <c r="AV207" s="186"/>
      <c r="AW207" s="186"/>
      <c r="AX207" s="186"/>
      <c r="AY207" s="186"/>
      <c r="AZ207" s="186"/>
      <c r="BA207" s="186"/>
      <c r="BB207" s="186"/>
      <c r="BC207" s="186"/>
      <c r="BD207" s="186"/>
      <c r="BE207" s="186"/>
      <c r="BF207" s="186"/>
      <c r="BG207" s="186"/>
      <c r="BH207" s="186"/>
      <c r="BI207" s="186"/>
      <c r="BJ207" s="186"/>
      <c r="BK207" s="186"/>
      <c r="BL207" s="186"/>
      <c r="BM207" s="186"/>
      <c r="BN207" s="186"/>
      <c r="BO207" s="186"/>
      <c r="BP207" s="186"/>
      <c r="BQ207" s="186"/>
      <c r="BR207" s="186"/>
      <c r="BS207" s="186"/>
      <c r="BT207" s="186"/>
      <c r="BU207" s="186"/>
      <c r="BV207" s="186"/>
      <c r="BW207" s="186"/>
      <c r="BX207" s="186"/>
      <c r="BY207" s="186"/>
      <c r="BZ207" s="184"/>
      <c r="CA207" s="184"/>
      <c r="CB207" s="184"/>
      <c r="CC207" s="184"/>
      <c r="CD207" s="184"/>
      <c r="CE207" s="184"/>
      <c r="CF207" s="184"/>
      <c r="CG207" s="184"/>
      <c r="CH207" s="184"/>
      <c r="CI207" s="184"/>
      <c r="CJ207" s="184"/>
      <c r="CK207" s="184"/>
      <c r="CL207" s="184"/>
      <c r="CM207" s="184"/>
      <c r="CN207" s="184"/>
      <c r="CO207" s="184"/>
      <c r="CP207" s="184"/>
      <c r="CQ207" s="184"/>
      <c r="CR207" s="184"/>
      <c r="CS207" s="184"/>
      <c r="CT207" s="184"/>
      <c r="CU207" s="184"/>
      <c r="CV207" s="184"/>
      <c r="CW207" s="184"/>
      <c r="CX207" s="184"/>
      <c r="CY207" s="184"/>
      <c r="CZ207" s="184"/>
      <c r="DA207" s="184"/>
      <c r="DB207" s="184"/>
      <c r="DC207" s="184"/>
      <c r="DD207" s="184"/>
      <c r="DE207" s="184"/>
      <c r="DF207" s="184"/>
      <c r="DG207" s="184"/>
      <c r="DH207" s="184"/>
      <c r="DI207" s="184"/>
      <c r="DJ207" s="184"/>
      <c r="DK207" s="184"/>
      <c r="DL207" s="184"/>
      <c r="DM207" s="184"/>
      <c r="DN207" s="184"/>
      <c r="DO207" s="184"/>
      <c r="DP207" s="184"/>
      <c r="DQ207" s="184"/>
      <c r="DR207" s="184"/>
      <c r="DS207" s="184"/>
      <c r="DT207" s="184"/>
      <c r="DU207" s="184"/>
      <c r="DV207" s="184"/>
      <c r="DW207" s="184"/>
      <c r="DX207" s="184"/>
      <c r="DY207" s="184"/>
      <c r="DZ207" s="184"/>
      <c r="EA207" s="224"/>
    </row>
    <row r="208" spans="1:131" x14ac:dyDescent="0.2">
      <c r="A208" s="184"/>
      <c r="B208" s="186"/>
      <c r="C208" s="186"/>
      <c r="D208" s="186"/>
      <c r="E208" s="186"/>
      <c r="F208" s="186"/>
      <c r="G208" s="186"/>
      <c r="H208" s="186"/>
      <c r="I208" s="186"/>
      <c r="J208" s="186"/>
      <c r="K208" s="186"/>
      <c r="L208" s="186"/>
      <c r="M208" s="186"/>
      <c r="N208" s="186"/>
      <c r="O208" s="186"/>
      <c r="P208" s="186"/>
      <c r="Q208" s="186"/>
      <c r="R208" s="186"/>
      <c r="S208" s="186"/>
      <c r="T208" s="186"/>
      <c r="U208" s="186"/>
      <c r="V208" s="186"/>
      <c r="W208" s="186"/>
      <c r="X208" s="186"/>
      <c r="Y208" s="186"/>
      <c r="Z208" s="186"/>
      <c r="AA208" s="186"/>
      <c r="AB208" s="186"/>
      <c r="AC208" s="186"/>
      <c r="AD208" s="186"/>
      <c r="AE208" s="186"/>
      <c r="AF208" s="186"/>
      <c r="AG208" s="186"/>
      <c r="AH208" s="186"/>
      <c r="AI208" s="186"/>
      <c r="AJ208" s="186"/>
      <c r="AK208" s="186"/>
      <c r="AL208" s="186"/>
      <c r="AM208" s="186"/>
      <c r="AN208" s="186"/>
      <c r="AO208" s="186"/>
      <c r="AP208" s="186"/>
      <c r="AQ208" s="186"/>
      <c r="AR208" s="186"/>
      <c r="AS208" s="186"/>
      <c r="AT208" s="186"/>
      <c r="AU208" s="186"/>
      <c r="AV208" s="186"/>
      <c r="AW208" s="186"/>
      <c r="AX208" s="186"/>
      <c r="AY208" s="186"/>
      <c r="AZ208" s="186"/>
      <c r="BA208" s="186"/>
      <c r="BB208" s="186"/>
      <c r="BC208" s="186"/>
      <c r="BD208" s="186"/>
      <c r="BE208" s="186"/>
      <c r="BF208" s="186"/>
      <c r="BG208" s="186"/>
      <c r="BH208" s="186"/>
      <c r="BI208" s="186"/>
      <c r="BJ208" s="186"/>
      <c r="BK208" s="186"/>
      <c r="BL208" s="186"/>
      <c r="BM208" s="186"/>
      <c r="BN208" s="186"/>
      <c r="BO208" s="186"/>
      <c r="BP208" s="186"/>
      <c r="BQ208" s="186"/>
      <c r="BR208" s="186"/>
      <c r="BS208" s="186"/>
      <c r="BT208" s="186"/>
      <c r="BU208" s="186"/>
      <c r="BV208" s="186"/>
      <c r="BW208" s="186"/>
      <c r="BX208" s="186"/>
      <c r="BY208" s="186"/>
      <c r="BZ208" s="184"/>
      <c r="CA208" s="184"/>
      <c r="CB208" s="184"/>
      <c r="CC208" s="184"/>
      <c r="CD208" s="184"/>
      <c r="CE208" s="184"/>
      <c r="CF208" s="184"/>
      <c r="CG208" s="184"/>
      <c r="CH208" s="184"/>
      <c r="CI208" s="184"/>
      <c r="CJ208" s="184"/>
      <c r="CK208" s="184"/>
      <c r="CL208" s="184"/>
      <c r="CM208" s="184"/>
      <c r="CN208" s="184"/>
      <c r="CO208" s="184"/>
      <c r="CP208" s="184"/>
      <c r="CQ208" s="184"/>
      <c r="CR208" s="184"/>
      <c r="CS208" s="184"/>
      <c r="CT208" s="184"/>
      <c r="CU208" s="184"/>
      <c r="CV208" s="184"/>
      <c r="CW208" s="184"/>
      <c r="CX208" s="184"/>
      <c r="CY208" s="184"/>
      <c r="CZ208" s="184"/>
      <c r="DA208" s="184"/>
      <c r="DB208" s="184"/>
      <c r="DC208" s="184"/>
      <c r="DD208" s="184"/>
      <c r="DE208" s="184"/>
      <c r="DF208" s="184"/>
      <c r="DG208" s="184"/>
      <c r="DH208" s="184"/>
      <c r="DI208" s="184"/>
      <c r="DJ208" s="184"/>
      <c r="DK208" s="184"/>
      <c r="DL208" s="184"/>
      <c r="DM208" s="184"/>
      <c r="DN208" s="184"/>
      <c r="DO208" s="184"/>
      <c r="DP208" s="184"/>
      <c r="DQ208" s="184"/>
      <c r="DR208" s="184"/>
      <c r="DS208" s="184"/>
      <c r="DT208" s="184"/>
      <c r="DU208" s="184"/>
      <c r="DV208" s="184"/>
      <c r="DW208" s="184"/>
      <c r="DX208" s="184"/>
      <c r="DY208" s="184"/>
      <c r="DZ208" s="184"/>
      <c r="EA208" s="224"/>
    </row>
    <row r="209" spans="1:131" x14ac:dyDescent="0.2">
      <c r="A209" s="184"/>
      <c r="B209" s="186"/>
      <c r="C209" s="186"/>
      <c r="D209" s="186"/>
      <c r="E209" s="186"/>
      <c r="F209" s="186"/>
      <c r="G209" s="186"/>
      <c r="H209" s="186"/>
      <c r="I209" s="186"/>
      <c r="J209" s="186"/>
      <c r="K209" s="186"/>
      <c r="L209" s="186"/>
      <c r="M209" s="186"/>
      <c r="N209" s="186"/>
      <c r="O209" s="186"/>
      <c r="P209" s="186"/>
      <c r="Q209" s="186"/>
      <c r="R209" s="186"/>
      <c r="S209" s="186"/>
      <c r="T209" s="186"/>
      <c r="U209" s="186"/>
      <c r="V209" s="186"/>
      <c r="W209" s="186"/>
      <c r="X209" s="186"/>
      <c r="Y209" s="186"/>
      <c r="Z209" s="186"/>
      <c r="AA209" s="186"/>
      <c r="AB209" s="186"/>
      <c r="AC209" s="186"/>
      <c r="AD209" s="186"/>
      <c r="AE209" s="186"/>
      <c r="AF209" s="186"/>
      <c r="AG209" s="186"/>
      <c r="AH209" s="186"/>
      <c r="AI209" s="186"/>
      <c r="AJ209" s="186"/>
      <c r="AK209" s="186"/>
      <c r="AL209" s="186"/>
      <c r="AM209" s="186"/>
      <c r="AN209" s="186"/>
      <c r="AO209" s="186"/>
      <c r="AP209" s="186"/>
      <c r="AQ209" s="186"/>
      <c r="AR209" s="186"/>
      <c r="AS209" s="186"/>
      <c r="AT209" s="186"/>
      <c r="AU209" s="186"/>
      <c r="AV209" s="186"/>
      <c r="AW209" s="186"/>
      <c r="AX209" s="186"/>
      <c r="AY209" s="186"/>
      <c r="AZ209" s="186"/>
      <c r="BA209" s="186"/>
      <c r="BB209" s="186"/>
      <c r="BC209" s="186"/>
      <c r="BD209" s="186"/>
      <c r="BE209" s="186"/>
      <c r="BF209" s="186"/>
      <c r="BG209" s="186"/>
      <c r="BH209" s="186"/>
      <c r="BI209" s="186"/>
      <c r="BJ209" s="186"/>
      <c r="BK209" s="186"/>
      <c r="BL209" s="186"/>
      <c r="BM209" s="186"/>
      <c r="BN209" s="186"/>
      <c r="BO209" s="186"/>
      <c r="BP209" s="186"/>
      <c r="BQ209" s="186"/>
      <c r="BR209" s="186"/>
      <c r="BS209" s="186"/>
      <c r="BT209" s="186"/>
      <c r="BU209" s="186"/>
      <c r="BV209" s="186"/>
      <c r="BW209" s="186"/>
      <c r="BX209" s="186"/>
      <c r="BY209" s="186"/>
      <c r="BZ209" s="184"/>
      <c r="CA209" s="184"/>
      <c r="CB209" s="184"/>
      <c r="CC209" s="184"/>
      <c r="CD209" s="184"/>
      <c r="CE209" s="184"/>
      <c r="CF209" s="184"/>
      <c r="CG209" s="184"/>
      <c r="CH209" s="184"/>
      <c r="CI209" s="184"/>
      <c r="CJ209" s="184"/>
      <c r="CK209" s="184"/>
      <c r="CL209" s="184"/>
      <c r="CM209" s="184"/>
      <c r="CN209" s="184"/>
      <c r="CO209" s="184"/>
      <c r="CP209" s="184"/>
      <c r="CQ209" s="184"/>
      <c r="CR209" s="184"/>
      <c r="CS209" s="184"/>
      <c r="CT209" s="184"/>
      <c r="CU209" s="184"/>
      <c r="CV209" s="184"/>
      <c r="CW209" s="184"/>
      <c r="CX209" s="184"/>
      <c r="CY209" s="184"/>
      <c r="CZ209" s="184"/>
      <c r="DA209" s="184"/>
      <c r="DB209" s="184"/>
      <c r="DC209" s="184"/>
      <c r="DD209" s="184"/>
      <c r="DE209" s="184"/>
      <c r="DF209" s="184"/>
      <c r="DG209" s="184"/>
      <c r="DH209" s="184"/>
      <c r="DI209" s="184"/>
      <c r="DJ209" s="184"/>
      <c r="DK209" s="184"/>
      <c r="DL209" s="184"/>
      <c r="DM209" s="184"/>
      <c r="DN209" s="184"/>
      <c r="DO209" s="184"/>
      <c r="DP209" s="184"/>
      <c r="DQ209" s="184"/>
      <c r="DR209" s="184"/>
      <c r="DS209" s="184"/>
      <c r="DT209" s="184"/>
      <c r="DU209" s="184"/>
      <c r="DV209" s="184"/>
      <c r="DW209" s="184"/>
      <c r="DX209" s="184"/>
      <c r="DY209" s="184"/>
      <c r="DZ209" s="184"/>
      <c r="EA209" s="224"/>
    </row>
    <row r="210" spans="1:131" x14ac:dyDescent="0.2">
      <c r="A210" s="184"/>
      <c r="B210" s="186"/>
      <c r="C210" s="186"/>
      <c r="D210" s="186"/>
      <c r="E210" s="186"/>
      <c r="F210" s="186"/>
      <c r="G210" s="186"/>
      <c r="H210" s="186"/>
      <c r="I210" s="186"/>
      <c r="J210" s="186"/>
      <c r="K210" s="186"/>
      <c r="L210" s="186"/>
      <c r="M210" s="186"/>
      <c r="N210" s="186"/>
      <c r="O210" s="186"/>
      <c r="P210" s="186"/>
      <c r="Q210" s="186"/>
      <c r="R210" s="186"/>
      <c r="S210" s="186"/>
      <c r="T210" s="186"/>
      <c r="U210" s="186"/>
      <c r="V210" s="186"/>
      <c r="W210" s="186"/>
      <c r="X210" s="186"/>
      <c r="Y210" s="186"/>
      <c r="Z210" s="186"/>
      <c r="AA210" s="186"/>
      <c r="AB210" s="186"/>
      <c r="AC210" s="186"/>
      <c r="AD210" s="186"/>
      <c r="AE210" s="186"/>
      <c r="AF210" s="186"/>
      <c r="AG210" s="186"/>
      <c r="AH210" s="186"/>
      <c r="AI210" s="186"/>
      <c r="AJ210" s="186"/>
      <c r="AK210" s="186"/>
      <c r="AL210" s="186"/>
      <c r="AM210" s="186"/>
      <c r="AN210" s="186"/>
      <c r="AO210" s="186"/>
      <c r="AP210" s="186"/>
      <c r="AQ210" s="186"/>
      <c r="AR210" s="186"/>
      <c r="AS210" s="186"/>
      <c r="AT210" s="186"/>
      <c r="AU210" s="186"/>
      <c r="AV210" s="186"/>
      <c r="AW210" s="186"/>
      <c r="AX210" s="186"/>
      <c r="AY210" s="186"/>
      <c r="AZ210" s="186"/>
      <c r="BA210" s="186"/>
      <c r="BB210" s="186"/>
      <c r="BC210" s="186"/>
      <c r="BD210" s="186"/>
      <c r="BE210" s="186"/>
      <c r="BF210" s="186"/>
      <c r="BG210" s="186"/>
      <c r="BH210" s="186"/>
      <c r="BI210" s="186"/>
      <c r="BJ210" s="186"/>
      <c r="BK210" s="186"/>
      <c r="BL210" s="186"/>
      <c r="BM210" s="186"/>
      <c r="BN210" s="186"/>
      <c r="BO210" s="186"/>
      <c r="BP210" s="186"/>
      <c r="BQ210" s="186"/>
      <c r="BR210" s="186"/>
      <c r="BS210" s="186"/>
      <c r="BT210" s="186"/>
      <c r="BU210" s="186"/>
      <c r="BV210" s="186"/>
      <c r="BW210" s="186"/>
      <c r="BX210" s="186"/>
      <c r="BY210" s="186"/>
      <c r="BZ210" s="184"/>
      <c r="CA210" s="184"/>
      <c r="CB210" s="184"/>
      <c r="CC210" s="184"/>
      <c r="CD210" s="184"/>
      <c r="CE210" s="184"/>
      <c r="CF210" s="184"/>
      <c r="CG210" s="184"/>
      <c r="CH210" s="184"/>
      <c r="CI210" s="184"/>
      <c r="CJ210" s="184"/>
      <c r="CK210" s="184"/>
      <c r="CL210" s="184"/>
      <c r="CM210" s="184"/>
      <c r="CN210" s="184"/>
      <c r="CO210" s="184"/>
      <c r="CP210" s="184"/>
      <c r="CQ210" s="184"/>
      <c r="CR210" s="184"/>
      <c r="CS210" s="184"/>
      <c r="CT210" s="184"/>
      <c r="CU210" s="184"/>
      <c r="CV210" s="184"/>
      <c r="CW210" s="184"/>
      <c r="CX210" s="184"/>
      <c r="CY210" s="184"/>
      <c r="CZ210" s="184"/>
      <c r="DA210" s="184"/>
      <c r="DB210" s="184"/>
      <c r="DC210" s="184"/>
      <c r="DD210" s="184"/>
      <c r="DE210" s="184"/>
      <c r="DF210" s="184"/>
      <c r="DG210" s="184"/>
      <c r="DH210" s="184"/>
      <c r="DI210" s="184"/>
      <c r="DJ210" s="184"/>
      <c r="DK210" s="184"/>
      <c r="DL210" s="184"/>
      <c r="DM210" s="184"/>
      <c r="DN210" s="184"/>
      <c r="DO210" s="184"/>
      <c r="DP210" s="184"/>
      <c r="DQ210" s="184"/>
      <c r="DR210" s="184"/>
      <c r="DS210" s="184"/>
      <c r="DT210" s="184"/>
      <c r="DU210" s="184"/>
      <c r="DV210" s="184"/>
      <c r="DW210" s="184"/>
      <c r="DX210" s="184"/>
      <c r="DY210" s="184"/>
      <c r="DZ210" s="184"/>
      <c r="EA210" s="224"/>
    </row>
    <row r="211" spans="1:131" x14ac:dyDescent="0.2">
      <c r="A211" s="184"/>
      <c r="B211" s="186"/>
      <c r="C211" s="186"/>
      <c r="D211" s="186"/>
      <c r="E211" s="186"/>
      <c r="F211" s="186"/>
      <c r="G211" s="186"/>
      <c r="H211" s="186"/>
      <c r="I211" s="186"/>
      <c r="J211" s="186"/>
      <c r="K211" s="186"/>
      <c r="L211" s="186"/>
      <c r="M211" s="186"/>
      <c r="N211" s="186"/>
      <c r="O211" s="186"/>
      <c r="P211" s="186"/>
      <c r="Q211" s="186"/>
      <c r="R211" s="186"/>
      <c r="S211" s="186"/>
      <c r="T211" s="186"/>
      <c r="U211" s="186"/>
      <c r="V211" s="186"/>
      <c r="W211" s="186"/>
      <c r="X211" s="186"/>
      <c r="Y211" s="186"/>
      <c r="Z211" s="186"/>
      <c r="AA211" s="186"/>
      <c r="AB211" s="186"/>
      <c r="AC211" s="186"/>
      <c r="AD211" s="186"/>
      <c r="AE211" s="186"/>
      <c r="AF211" s="186"/>
      <c r="AG211" s="186"/>
      <c r="AH211" s="186"/>
      <c r="AI211" s="186"/>
      <c r="AJ211" s="186"/>
      <c r="AK211" s="186"/>
      <c r="AL211" s="186"/>
      <c r="AM211" s="186"/>
      <c r="AN211" s="186"/>
      <c r="AO211" s="186"/>
      <c r="AP211" s="186"/>
      <c r="AQ211" s="186"/>
      <c r="AR211" s="186"/>
      <c r="AS211" s="186"/>
      <c r="AT211" s="186"/>
      <c r="AU211" s="186"/>
      <c r="AV211" s="186"/>
      <c r="AW211" s="186"/>
      <c r="AX211" s="186"/>
      <c r="AY211" s="186"/>
      <c r="AZ211" s="186"/>
      <c r="BA211" s="186"/>
      <c r="BB211" s="186"/>
      <c r="BC211" s="186"/>
      <c r="BD211" s="186"/>
      <c r="BE211" s="186"/>
      <c r="BF211" s="186"/>
      <c r="BG211" s="186"/>
      <c r="BH211" s="186"/>
      <c r="BI211" s="186"/>
      <c r="BJ211" s="186"/>
      <c r="BK211" s="186"/>
      <c r="BL211" s="186"/>
      <c r="BM211" s="186"/>
      <c r="BN211" s="186"/>
      <c r="BO211" s="186"/>
      <c r="BP211" s="186"/>
      <c r="BQ211" s="186"/>
      <c r="BR211" s="186"/>
      <c r="BS211" s="186"/>
      <c r="BT211" s="186"/>
      <c r="BU211" s="186"/>
      <c r="BV211" s="186"/>
      <c r="BW211" s="186"/>
      <c r="BX211" s="186"/>
      <c r="BY211" s="186"/>
      <c r="BZ211" s="184"/>
      <c r="CA211" s="184"/>
      <c r="CB211" s="184"/>
      <c r="CC211" s="184"/>
      <c r="CD211" s="184"/>
      <c r="CE211" s="184"/>
      <c r="CF211" s="184"/>
      <c r="CG211" s="184"/>
      <c r="CH211" s="184"/>
      <c r="CI211" s="184"/>
      <c r="CJ211" s="184"/>
      <c r="CK211" s="184"/>
      <c r="CL211" s="184"/>
      <c r="CM211" s="184"/>
      <c r="CN211" s="184"/>
      <c r="CO211" s="184"/>
      <c r="CP211" s="184"/>
      <c r="CQ211" s="184"/>
      <c r="CR211" s="184"/>
      <c r="CS211" s="184"/>
      <c r="CT211" s="184"/>
      <c r="CU211" s="184"/>
      <c r="CV211" s="184"/>
      <c r="CW211" s="184"/>
      <c r="CX211" s="184"/>
      <c r="CY211" s="184"/>
      <c r="CZ211" s="184"/>
      <c r="DA211" s="184"/>
      <c r="DB211" s="184"/>
      <c r="DC211" s="184"/>
      <c r="DD211" s="184"/>
      <c r="DE211" s="184"/>
      <c r="DF211" s="184"/>
      <c r="DG211" s="184"/>
      <c r="DH211" s="184"/>
      <c r="DI211" s="184"/>
      <c r="DJ211" s="184"/>
      <c r="DK211" s="184"/>
      <c r="DL211" s="184"/>
      <c r="DM211" s="184"/>
      <c r="DN211" s="184"/>
      <c r="DO211" s="184"/>
      <c r="DP211" s="184"/>
      <c r="DQ211" s="184"/>
      <c r="DR211" s="184"/>
      <c r="DS211" s="184"/>
      <c r="DT211" s="184"/>
      <c r="DU211" s="184"/>
      <c r="DV211" s="184"/>
      <c r="DW211" s="184"/>
      <c r="DX211" s="184"/>
      <c r="DY211" s="184"/>
      <c r="DZ211" s="184"/>
      <c r="EA211" s="224"/>
    </row>
    <row r="212" spans="1:131" x14ac:dyDescent="0.2">
      <c r="A212" s="184"/>
      <c r="B212" s="186"/>
      <c r="C212" s="186"/>
      <c r="D212" s="186"/>
      <c r="E212" s="186"/>
      <c r="F212" s="186"/>
      <c r="G212" s="186"/>
      <c r="H212" s="186"/>
      <c r="I212" s="186"/>
      <c r="J212" s="186"/>
      <c r="K212" s="186"/>
      <c r="L212" s="186"/>
      <c r="M212" s="186"/>
      <c r="N212" s="186"/>
      <c r="O212" s="186"/>
      <c r="P212" s="186"/>
      <c r="Q212" s="186"/>
      <c r="R212" s="186"/>
      <c r="S212" s="186"/>
      <c r="T212" s="186"/>
      <c r="U212" s="186"/>
      <c r="V212" s="186"/>
      <c r="W212" s="186"/>
      <c r="X212" s="186"/>
      <c r="Y212" s="186"/>
      <c r="Z212" s="186"/>
      <c r="AA212" s="186"/>
      <c r="AB212" s="186"/>
      <c r="AC212" s="186"/>
      <c r="AD212" s="186"/>
      <c r="AE212" s="186"/>
      <c r="AF212" s="186"/>
      <c r="AG212" s="186"/>
      <c r="AH212" s="186"/>
      <c r="AI212" s="186"/>
      <c r="AJ212" s="186"/>
      <c r="AK212" s="186"/>
      <c r="AL212" s="186"/>
      <c r="AM212" s="186"/>
      <c r="AN212" s="186"/>
      <c r="AO212" s="186"/>
      <c r="AP212" s="186"/>
      <c r="AQ212" s="186"/>
      <c r="AR212" s="186"/>
      <c r="AS212" s="186"/>
      <c r="AT212" s="186"/>
      <c r="AU212" s="186"/>
      <c r="AV212" s="186"/>
      <c r="AW212" s="186"/>
      <c r="AX212" s="186"/>
      <c r="AY212" s="186"/>
      <c r="AZ212" s="186"/>
      <c r="BA212" s="186"/>
      <c r="BB212" s="186"/>
      <c r="BC212" s="186"/>
      <c r="BD212" s="186"/>
      <c r="BE212" s="186"/>
      <c r="BF212" s="186"/>
      <c r="BG212" s="186"/>
      <c r="BH212" s="186"/>
      <c r="BI212" s="186"/>
      <c r="BJ212" s="186"/>
      <c r="BK212" s="186"/>
      <c r="BL212" s="186"/>
      <c r="BM212" s="186"/>
      <c r="BN212" s="186"/>
      <c r="BO212" s="186"/>
      <c r="BP212" s="186"/>
      <c r="BQ212" s="186"/>
      <c r="BR212" s="186"/>
      <c r="BS212" s="186"/>
      <c r="BT212" s="186"/>
      <c r="BU212" s="186"/>
      <c r="BV212" s="186"/>
      <c r="BW212" s="186"/>
      <c r="BX212" s="186"/>
      <c r="BY212" s="186"/>
      <c r="BZ212" s="184"/>
      <c r="CA212" s="184"/>
      <c r="CB212" s="184"/>
      <c r="CC212" s="184"/>
      <c r="CD212" s="184"/>
      <c r="CE212" s="184"/>
      <c r="CF212" s="184"/>
      <c r="CG212" s="184"/>
      <c r="CH212" s="184"/>
      <c r="CI212" s="184"/>
      <c r="CJ212" s="184"/>
      <c r="CK212" s="184"/>
      <c r="CL212" s="184"/>
      <c r="CM212" s="184"/>
      <c r="CN212" s="184"/>
      <c r="CO212" s="184"/>
      <c r="CP212" s="184"/>
      <c r="CQ212" s="184"/>
      <c r="CR212" s="184"/>
      <c r="CS212" s="184"/>
      <c r="CT212" s="184"/>
      <c r="CU212" s="184"/>
      <c r="CV212" s="184"/>
      <c r="CW212" s="184"/>
      <c r="CX212" s="184"/>
      <c r="CY212" s="184"/>
      <c r="CZ212" s="184"/>
      <c r="DA212" s="184"/>
      <c r="DB212" s="184"/>
      <c r="DC212" s="184"/>
      <c r="DD212" s="184"/>
      <c r="DE212" s="184"/>
      <c r="DF212" s="184"/>
      <c r="DG212" s="184"/>
      <c r="DH212" s="184"/>
      <c r="DI212" s="184"/>
      <c r="DJ212" s="184"/>
      <c r="DK212" s="184"/>
      <c r="DL212" s="184"/>
      <c r="DM212" s="184"/>
      <c r="DN212" s="184"/>
      <c r="DO212" s="184"/>
      <c r="DP212" s="184"/>
      <c r="DQ212" s="184"/>
      <c r="DR212" s="184"/>
      <c r="DS212" s="184"/>
      <c r="DT212" s="184"/>
      <c r="DU212" s="184"/>
      <c r="DV212" s="184"/>
      <c r="DW212" s="184"/>
      <c r="DX212" s="184"/>
      <c r="DY212" s="184"/>
      <c r="DZ212" s="184"/>
      <c r="EA212" s="224"/>
    </row>
    <row r="213" spans="1:131" x14ac:dyDescent="0.2">
      <c r="A213" s="184"/>
      <c r="B213" s="184"/>
      <c r="C213" s="184"/>
      <c r="D213" s="184"/>
      <c r="E213" s="184"/>
      <c r="F213" s="186"/>
      <c r="G213" s="184"/>
      <c r="H213" s="184"/>
      <c r="I213" s="184"/>
      <c r="J213" s="184"/>
      <c r="K213" s="184"/>
      <c r="L213" s="184"/>
      <c r="M213" s="184"/>
      <c r="N213" s="184"/>
      <c r="O213" s="184"/>
      <c r="P213" s="184"/>
      <c r="Q213" s="184"/>
      <c r="R213" s="184"/>
      <c r="S213" s="184"/>
      <c r="T213" s="184"/>
      <c r="U213" s="184"/>
      <c r="V213" s="184"/>
      <c r="W213" s="184"/>
      <c r="X213" s="184"/>
      <c r="Y213" s="184"/>
      <c r="Z213" s="184"/>
      <c r="AA213" s="184"/>
      <c r="AB213" s="184"/>
      <c r="AC213" s="184"/>
      <c r="AD213" s="184"/>
      <c r="AE213" s="184"/>
      <c r="AF213" s="184"/>
      <c r="AG213" s="184"/>
      <c r="AH213" s="184"/>
      <c r="AI213" s="184"/>
      <c r="AJ213" s="184"/>
      <c r="AK213" s="184"/>
      <c r="AL213" s="184"/>
      <c r="AM213" s="184"/>
      <c r="AN213" s="184"/>
      <c r="AO213" s="184"/>
      <c r="AP213" s="184"/>
      <c r="AQ213" s="184"/>
      <c r="AR213" s="184"/>
      <c r="AS213" s="184"/>
      <c r="AT213" s="184"/>
      <c r="AU213" s="184"/>
      <c r="AV213" s="184"/>
      <c r="AW213" s="184"/>
      <c r="AX213" s="184"/>
      <c r="AY213" s="184"/>
      <c r="AZ213" s="184"/>
      <c r="BA213" s="184"/>
      <c r="BB213" s="184"/>
      <c r="BC213" s="184"/>
      <c r="BD213" s="184"/>
      <c r="BE213" s="184"/>
      <c r="BF213" s="184"/>
      <c r="BG213" s="184"/>
      <c r="BH213" s="184"/>
      <c r="BI213" s="184"/>
      <c r="BJ213" s="184"/>
      <c r="BK213" s="184"/>
      <c r="BL213" s="184"/>
      <c r="BM213" s="184"/>
      <c r="BN213" s="184"/>
      <c r="BO213" s="184"/>
      <c r="BP213" s="184"/>
      <c r="BQ213" s="184"/>
      <c r="BR213" s="184"/>
      <c r="BS213" s="184"/>
      <c r="BT213" s="184"/>
      <c r="BU213" s="184"/>
      <c r="BV213" s="184"/>
      <c r="BW213" s="184"/>
      <c r="BX213" s="184"/>
      <c r="BY213" s="184"/>
      <c r="BZ213" s="184"/>
      <c r="CA213" s="184"/>
      <c r="CB213" s="184"/>
      <c r="CC213" s="184"/>
      <c r="CD213" s="184"/>
      <c r="CE213" s="184"/>
      <c r="CF213" s="184"/>
      <c r="CG213" s="184"/>
      <c r="CH213" s="184"/>
      <c r="CI213" s="184"/>
      <c r="CJ213" s="184"/>
      <c r="CK213" s="184"/>
      <c r="CL213" s="184"/>
      <c r="CM213" s="184"/>
      <c r="CN213" s="184"/>
      <c r="CO213" s="184"/>
      <c r="CP213" s="184"/>
      <c r="CQ213" s="184"/>
      <c r="CR213" s="184"/>
      <c r="CS213" s="184"/>
      <c r="CT213" s="184"/>
      <c r="CU213" s="184"/>
      <c r="CV213" s="184"/>
      <c r="CW213" s="184"/>
      <c r="CX213" s="184"/>
      <c r="CY213" s="184"/>
      <c r="CZ213" s="184"/>
      <c r="DA213" s="184"/>
      <c r="DB213" s="184"/>
      <c r="DC213" s="184"/>
      <c r="DD213" s="184"/>
      <c r="DE213" s="184"/>
      <c r="DF213" s="184"/>
      <c r="DG213" s="184"/>
      <c r="DH213" s="184"/>
      <c r="DI213" s="184"/>
      <c r="DJ213" s="184"/>
      <c r="DK213" s="184"/>
      <c r="DL213" s="184"/>
      <c r="DM213" s="184"/>
      <c r="DN213" s="184"/>
      <c r="DO213" s="184"/>
      <c r="DP213" s="184"/>
      <c r="DQ213" s="184"/>
      <c r="DR213" s="184"/>
      <c r="DS213" s="184"/>
      <c r="DT213" s="184"/>
      <c r="DU213" s="184"/>
      <c r="DV213" s="184"/>
      <c r="DW213" s="184"/>
      <c r="DX213" s="184"/>
      <c r="DY213" s="184"/>
      <c r="DZ213" s="184"/>
      <c r="EA213" s="224"/>
    </row>
    <row r="214" spans="1:131" x14ac:dyDescent="0.2">
      <c r="A214" s="184"/>
      <c r="B214" s="184"/>
      <c r="C214" s="184"/>
      <c r="D214" s="184"/>
      <c r="E214" s="184"/>
      <c r="F214" s="184"/>
      <c r="G214" s="184"/>
      <c r="H214" s="184"/>
      <c r="I214" s="184"/>
      <c r="J214" s="184"/>
      <c r="K214" s="184"/>
      <c r="L214" s="184"/>
      <c r="M214" s="184"/>
      <c r="N214" s="184"/>
      <c r="O214" s="184"/>
      <c r="P214" s="184"/>
      <c r="Q214" s="184"/>
      <c r="R214" s="184"/>
      <c r="S214" s="184"/>
      <c r="T214" s="184"/>
      <c r="U214" s="184"/>
      <c r="V214" s="184"/>
      <c r="W214" s="184"/>
      <c r="X214" s="184"/>
      <c r="Y214" s="184"/>
      <c r="Z214" s="184"/>
      <c r="AA214" s="184"/>
      <c r="AB214" s="184"/>
      <c r="AC214" s="184"/>
      <c r="AD214" s="184"/>
      <c r="AE214" s="184"/>
      <c r="AF214" s="184"/>
      <c r="AG214" s="184"/>
      <c r="AH214" s="184"/>
      <c r="AI214" s="184"/>
      <c r="AJ214" s="184"/>
      <c r="AK214" s="184"/>
      <c r="AL214" s="184"/>
      <c r="AM214" s="184"/>
      <c r="AN214" s="184"/>
      <c r="AO214" s="184"/>
      <c r="AP214" s="184"/>
      <c r="AQ214" s="184"/>
      <c r="AR214" s="184"/>
      <c r="AS214" s="184"/>
      <c r="AT214" s="184"/>
      <c r="AU214" s="184"/>
      <c r="AV214" s="184"/>
      <c r="AW214" s="184"/>
      <c r="AX214" s="184"/>
      <c r="AY214" s="184"/>
      <c r="AZ214" s="184"/>
      <c r="BA214" s="184"/>
      <c r="BB214" s="184"/>
      <c r="BC214" s="184"/>
      <c r="BD214" s="184"/>
      <c r="BE214" s="184"/>
      <c r="BF214" s="184"/>
      <c r="BG214" s="184"/>
      <c r="BH214" s="184"/>
      <c r="BI214" s="184"/>
      <c r="BJ214" s="184"/>
      <c r="BK214" s="184"/>
      <c r="BL214" s="184"/>
      <c r="BM214" s="184"/>
      <c r="BN214" s="184"/>
      <c r="BO214" s="184"/>
      <c r="BP214" s="184"/>
      <c r="BQ214" s="184"/>
      <c r="BR214" s="184"/>
      <c r="BS214" s="184"/>
      <c r="BT214" s="184"/>
      <c r="BU214" s="184"/>
      <c r="BV214" s="184"/>
      <c r="BW214" s="184"/>
      <c r="BX214" s="184"/>
      <c r="BY214" s="184"/>
      <c r="BZ214" s="184"/>
      <c r="CA214" s="184"/>
      <c r="CB214" s="184"/>
      <c r="CC214" s="184"/>
      <c r="CD214" s="184"/>
      <c r="CE214" s="184"/>
      <c r="CF214" s="184"/>
      <c r="CG214" s="184"/>
      <c r="CH214" s="184"/>
      <c r="CI214" s="184"/>
      <c r="CJ214" s="184"/>
      <c r="CK214" s="184"/>
      <c r="CL214" s="184"/>
      <c r="CM214" s="184"/>
      <c r="CN214" s="184"/>
      <c r="CO214" s="184"/>
      <c r="CP214" s="184"/>
      <c r="CQ214" s="184"/>
      <c r="CR214" s="184"/>
      <c r="CS214" s="184"/>
      <c r="CT214" s="184"/>
      <c r="CU214" s="184"/>
      <c r="CV214" s="184"/>
      <c r="CW214" s="184"/>
      <c r="CX214" s="184"/>
      <c r="CY214" s="184"/>
      <c r="CZ214" s="184"/>
      <c r="DA214" s="184"/>
      <c r="DB214" s="184"/>
      <c r="DC214" s="184"/>
      <c r="DD214" s="184"/>
      <c r="DE214" s="184"/>
      <c r="DF214" s="184"/>
      <c r="DG214" s="184"/>
      <c r="DH214" s="184"/>
      <c r="DI214" s="184"/>
      <c r="DJ214" s="184"/>
      <c r="DK214" s="184"/>
      <c r="DL214" s="184"/>
      <c r="DM214" s="184"/>
      <c r="DN214" s="184"/>
      <c r="DO214" s="184"/>
      <c r="DP214" s="184"/>
      <c r="DQ214" s="184"/>
      <c r="DR214" s="184"/>
      <c r="DS214" s="184"/>
      <c r="DT214" s="184"/>
      <c r="DU214" s="184"/>
      <c r="DV214" s="184"/>
      <c r="DW214" s="184"/>
      <c r="DX214" s="184"/>
      <c r="DY214" s="184"/>
      <c r="DZ214" s="184"/>
      <c r="EA214" s="224"/>
    </row>
    <row r="215" spans="1:131" x14ac:dyDescent="0.2">
      <c r="A215" s="184"/>
      <c r="B215" s="184"/>
      <c r="C215" s="184"/>
      <c r="D215" s="184"/>
      <c r="E215" s="184"/>
      <c r="F215" s="184"/>
      <c r="G215" s="184"/>
      <c r="H215" s="184"/>
      <c r="I215" s="184"/>
      <c r="J215" s="184"/>
      <c r="K215" s="184"/>
      <c r="L215" s="184"/>
      <c r="M215" s="184"/>
      <c r="N215" s="184"/>
      <c r="O215" s="184"/>
      <c r="P215" s="184"/>
      <c r="Q215" s="184"/>
      <c r="R215" s="184"/>
      <c r="S215" s="184"/>
      <c r="T215" s="184"/>
      <c r="U215" s="184"/>
      <c r="V215" s="184"/>
      <c r="W215" s="184"/>
      <c r="X215" s="184"/>
      <c r="Y215" s="184"/>
      <c r="Z215" s="184"/>
      <c r="AA215" s="184"/>
      <c r="AB215" s="184"/>
      <c r="AC215" s="184"/>
      <c r="AD215" s="184"/>
      <c r="AE215" s="184"/>
      <c r="AF215" s="184"/>
      <c r="AG215" s="184"/>
      <c r="AH215" s="184"/>
      <c r="AI215" s="184"/>
      <c r="AJ215" s="184"/>
      <c r="AK215" s="184"/>
      <c r="AL215" s="184"/>
      <c r="AM215" s="184"/>
      <c r="AN215" s="184"/>
      <c r="AO215" s="184"/>
      <c r="AP215" s="184"/>
      <c r="AQ215" s="184"/>
      <c r="AR215" s="184"/>
      <c r="AS215" s="184"/>
      <c r="AT215" s="184"/>
      <c r="AU215" s="184"/>
      <c r="AV215" s="184"/>
      <c r="AW215" s="184"/>
      <c r="AX215" s="184"/>
      <c r="AY215" s="184"/>
      <c r="AZ215" s="184"/>
      <c r="BA215" s="184"/>
      <c r="BB215" s="184"/>
      <c r="BC215" s="184"/>
      <c r="BD215" s="184"/>
      <c r="BE215" s="184"/>
      <c r="BF215" s="184"/>
      <c r="BG215" s="184"/>
      <c r="BH215" s="184"/>
      <c r="BI215" s="184"/>
      <c r="BJ215" s="184"/>
      <c r="BK215" s="184"/>
      <c r="BL215" s="184"/>
      <c r="BM215" s="184"/>
      <c r="BN215" s="184"/>
      <c r="BO215" s="184"/>
      <c r="BP215" s="184"/>
      <c r="BQ215" s="184"/>
      <c r="BR215" s="184"/>
      <c r="BS215" s="184"/>
      <c r="BT215" s="184"/>
      <c r="BU215" s="184"/>
      <c r="BV215" s="184"/>
      <c r="BW215" s="184"/>
      <c r="BX215" s="184"/>
      <c r="BY215" s="184"/>
      <c r="BZ215" s="184"/>
      <c r="CA215" s="184"/>
      <c r="CB215" s="184"/>
      <c r="CC215" s="184"/>
      <c r="CD215" s="184"/>
      <c r="CE215" s="184"/>
      <c r="CF215" s="184"/>
      <c r="CG215" s="184"/>
      <c r="CH215" s="184"/>
      <c r="CI215" s="184"/>
      <c r="CJ215" s="184"/>
      <c r="CK215" s="184"/>
      <c r="CL215" s="184"/>
      <c r="CM215" s="184"/>
      <c r="CN215" s="184"/>
      <c r="CO215" s="184"/>
      <c r="CP215" s="184"/>
      <c r="CQ215" s="184"/>
      <c r="CR215" s="184"/>
      <c r="CS215" s="184"/>
      <c r="CT215" s="184"/>
      <c r="CU215" s="184"/>
      <c r="CV215" s="184"/>
      <c r="CW215" s="184"/>
      <c r="CX215" s="184"/>
      <c r="CY215" s="184"/>
      <c r="CZ215" s="184"/>
      <c r="DA215" s="184"/>
      <c r="DB215" s="184"/>
      <c r="DC215" s="184"/>
      <c r="DD215" s="184"/>
      <c r="DE215" s="184"/>
      <c r="DF215" s="184"/>
      <c r="DG215" s="184"/>
      <c r="DH215" s="184"/>
      <c r="DI215" s="184"/>
      <c r="DJ215" s="184"/>
      <c r="DK215" s="184"/>
      <c r="DL215" s="184"/>
      <c r="DM215" s="184"/>
      <c r="DN215" s="184"/>
      <c r="DO215" s="184"/>
      <c r="DP215" s="184"/>
      <c r="DQ215" s="184"/>
      <c r="DR215" s="184"/>
      <c r="DS215" s="184"/>
      <c r="DT215" s="184"/>
      <c r="DU215" s="184"/>
      <c r="DV215" s="184"/>
      <c r="DW215" s="184"/>
      <c r="DX215" s="184"/>
      <c r="DY215" s="184"/>
      <c r="DZ215" s="184"/>
      <c r="EA215" s="224"/>
    </row>
    <row r="216" spans="1:131" x14ac:dyDescent="0.2">
      <c r="A216" s="184"/>
      <c r="B216" s="184"/>
      <c r="C216" s="184"/>
      <c r="D216" s="184"/>
      <c r="E216" s="184"/>
      <c r="F216" s="184"/>
      <c r="G216" s="184"/>
      <c r="H216" s="184"/>
      <c r="I216" s="184"/>
      <c r="J216" s="184"/>
      <c r="K216" s="184"/>
      <c r="L216" s="184"/>
      <c r="M216" s="184"/>
      <c r="N216" s="184"/>
      <c r="O216" s="184"/>
      <c r="P216" s="184"/>
      <c r="Q216" s="184"/>
      <c r="R216" s="184"/>
      <c r="S216" s="184"/>
      <c r="T216" s="184"/>
      <c r="U216" s="184"/>
      <c r="V216" s="184"/>
      <c r="W216" s="184"/>
      <c r="X216" s="184"/>
      <c r="Y216" s="184"/>
      <c r="Z216" s="184"/>
      <c r="AA216" s="184"/>
      <c r="AB216" s="184"/>
      <c r="AC216" s="184"/>
      <c r="AD216" s="184"/>
      <c r="AE216" s="184"/>
      <c r="AF216" s="184"/>
      <c r="AG216" s="184"/>
      <c r="AH216" s="184"/>
      <c r="AI216" s="184"/>
      <c r="AJ216" s="184"/>
      <c r="AK216" s="184"/>
      <c r="AL216" s="184"/>
      <c r="AM216" s="184"/>
      <c r="AN216" s="184"/>
      <c r="AO216" s="184"/>
      <c r="AP216" s="184"/>
      <c r="AQ216" s="184"/>
      <c r="AR216" s="184"/>
      <c r="AS216" s="184"/>
      <c r="AT216" s="184"/>
      <c r="AU216" s="184"/>
      <c r="AV216" s="184"/>
      <c r="AW216" s="184"/>
      <c r="AX216" s="184"/>
      <c r="AY216" s="184"/>
      <c r="AZ216" s="184"/>
      <c r="BA216" s="184"/>
      <c r="BB216" s="184"/>
      <c r="BC216" s="184"/>
      <c r="BD216" s="184"/>
      <c r="BE216" s="184"/>
      <c r="BF216" s="184"/>
      <c r="BG216" s="184"/>
      <c r="BH216" s="184"/>
      <c r="BI216" s="184"/>
      <c r="BJ216" s="184"/>
      <c r="BK216" s="184"/>
      <c r="BL216" s="184"/>
      <c r="BM216" s="184"/>
      <c r="BN216" s="184"/>
      <c r="BO216" s="184"/>
      <c r="BP216" s="184"/>
      <c r="BQ216" s="184"/>
      <c r="BR216" s="184"/>
      <c r="BS216" s="184"/>
      <c r="BT216" s="184"/>
      <c r="BU216" s="184"/>
      <c r="BV216" s="184"/>
      <c r="BW216" s="184"/>
      <c r="BX216" s="184"/>
      <c r="BY216" s="184"/>
      <c r="BZ216" s="184"/>
      <c r="CA216" s="184"/>
      <c r="CB216" s="184"/>
      <c r="CC216" s="184"/>
      <c r="CD216" s="184"/>
      <c r="CE216" s="184"/>
      <c r="CF216" s="184"/>
      <c r="CG216" s="184"/>
      <c r="CH216" s="184"/>
      <c r="CI216" s="184"/>
      <c r="CJ216" s="184"/>
      <c r="CK216" s="184"/>
      <c r="CL216" s="184"/>
      <c r="CM216" s="184"/>
      <c r="CN216" s="184"/>
      <c r="CO216" s="184"/>
      <c r="CP216" s="184"/>
      <c r="CQ216" s="184"/>
      <c r="CR216" s="184"/>
      <c r="CS216" s="184"/>
      <c r="CT216" s="184"/>
      <c r="CU216" s="184"/>
      <c r="CV216" s="184"/>
      <c r="CW216" s="184"/>
      <c r="CX216" s="184"/>
      <c r="CY216" s="184"/>
      <c r="CZ216" s="184"/>
      <c r="DA216" s="184"/>
      <c r="DB216" s="184"/>
      <c r="DC216" s="184"/>
      <c r="DD216" s="184"/>
      <c r="DE216" s="184"/>
      <c r="DF216" s="184"/>
      <c r="DG216" s="184"/>
      <c r="DH216" s="184"/>
      <c r="DI216" s="184"/>
      <c r="DJ216" s="184"/>
      <c r="DK216" s="184"/>
      <c r="DL216" s="184"/>
      <c r="DM216" s="184"/>
      <c r="DN216" s="184"/>
      <c r="DO216" s="184"/>
      <c r="DP216" s="184"/>
      <c r="DQ216" s="184"/>
      <c r="DR216" s="184"/>
      <c r="DS216" s="184"/>
      <c r="DT216" s="184"/>
      <c r="DU216" s="184"/>
      <c r="DV216" s="184"/>
      <c r="DW216" s="184"/>
      <c r="DX216" s="184"/>
      <c r="DY216" s="184"/>
      <c r="DZ216" s="184"/>
      <c r="EA216" s="224"/>
    </row>
    <row r="217" spans="1:131" x14ac:dyDescent="0.2">
      <c r="A217" s="184"/>
      <c r="B217" s="184"/>
      <c r="C217" s="184"/>
      <c r="D217" s="184"/>
      <c r="E217" s="184"/>
      <c r="F217" s="184"/>
      <c r="G217" s="184"/>
      <c r="H217" s="184"/>
      <c r="I217" s="184"/>
      <c r="J217" s="184"/>
      <c r="K217" s="184"/>
      <c r="L217" s="184"/>
      <c r="M217" s="184"/>
      <c r="N217" s="184"/>
      <c r="O217" s="184"/>
      <c r="P217" s="184"/>
      <c r="Q217" s="184"/>
      <c r="R217" s="184"/>
      <c r="S217" s="184"/>
      <c r="T217" s="184"/>
      <c r="U217" s="184"/>
      <c r="V217" s="184"/>
      <c r="W217" s="184"/>
      <c r="X217" s="184"/>
      <c r="Y217" s="184"/>
      <c r="Z217" s="184"/>
      <c r="AA217" s="184"/>
      <c r="AB217" s="184"/>
      <c r="AC217" s="184"/>
      <c r="AD217" s="184"/>
      <c r="AE217" s="184"/>
      <c r="AF217" s="184"/>
      <c r="AG217" s="184"/>
      <c r="AH217" s="184"/>
      <c r="AI217" s="184"/>
      <c r="AJ217" s="184"/>
      <c r="AK217" s="184"/>
      <c r="AL217" s="184"/>
      <c r="AM217" s="184"/>
      <c r="AN217" s="184"/>
      <c r="AO217" s="184"/>
      <c r="AP217" s="184"/>
      <c r="AQ217" s="184"/>
      <c r="AR217" s="184"/>
      <c r="AS217" s="184"/>
      <c r="AT217" s="184"/>
      <c r="AU217" s="184"/>
      <c r="AV217" s="184"/>
      <c r="AW217" s="184"/>
      <c r="AX217" s="184"/>
      <c r="AY217" s="184"/>
      <c r="AZ217" s="184"/>
      <c r="BA217" s="184"/>
      <c r="BB217" s="184"/>
      <c r="BC217" s="184"/>
      <c r="BD217" s="184"/>
      <c r="BE217" s="184"/>
      <c r="BF217" s="184"/>
      <c r="BG217" s="184"/>
      <c r="BH217" s="184"/>
      <c r="BI217" s="184"/>
      <c r="BJ217" s="184"/>
      <c r="BK217" s="184"/>
      <c r="BL217" s="184"/>
      <c r="BM217" s="184"/>
      <c r="BN217" s="184"/>
      <c r="BO217" s="184"/>
      <c r="BP217" s="184"/>
      <c r="BQ217" s="184"/>
      <c r="BR217" s="184"/>
      <c r="BS217" s="184"/>
      <c r="BT217" s="184"/>
      <c r="BU217" s="184"/>
      <c r="BV217" s="184"/>
      <c r="BW217" s="184"/>
      <c r="BX217" s="184"/>
      <c r="BY217" s="184"/>
      <c r="BZ217" s="184"/>
      <c r="CA217" s="184"/>
      <c r="CB217" s="184"/>
      <c r="CC217" s="184"/>
      <c r="CD217" s="184"/>
      <c r="CE217" s="184"/>
      <c r="CF217" s="184"/>
      <c r="CG217" s="184"/>
      <c r="CH217" s="184"/>
      <c r="CI217" s="184"/>
      <c r="CJ217" s="184"/>
      <c r="CK217" s="184"/>
      <c r="CL217" s="184"/>
      <c r="CM217" s="184"/>
      <c r="CN217" s="184"/>
      <c r="CO217" s="184"/>
      <c r="CP217" s="184"/>
      <c r="CQ217" s="184"/>
      <c r="CR217" s="184"/>
      <c r="CS217" s="184"/>
      <c r="CT217" s="184"/>
      <c r="CU217" s="184"/>
      <c r="CV217" s="184"/>
      <c r="CW217" s="184"/>
      <c r="CX217" s="184"/>
      <c r="CY217" s="184"/>
      <c r="CZ217" s="184"/>
      <c r="DA217" s="184"/>
      <c r="DB217" s="184"/>
      <c r="DC217" s="184"/>
      <c r="DD217" s="184"/>
      <c r="DE217" s="184"/>
      <c r="DF217" s="184"/>
      <c r="DG217" s="184"/>
      <c r="DH217" s="184"/>
      <c r="DI217" s="184"/>
      <c r="DJ217" s="184"/>
      <c r="DK217" s="184"/>
      <c r="DL217" s="184"/>
      <c r="DM217" s="184"/>
      <c r="DN217" s="184"/>
      <c r="DO217" s="184"/>
      <c r="DP217" s="184"/>
      <c r="DQ217" s="184"/>
      <c r="DR217" s="184"/>
      <c r="DS217" s="184"/>
      <c r="DT217" s="184"/>
      <c r="DU217" s="184"/>
      <c r="DV217" s="184"/>
      <c r="DW217" s="184"/>
      <c r="DX217" s="184"/>
      <c r="DY217" s="184"/>
      <c r="DZ217" s="184"/>
      <c r="EA217" s="224"/>
    </row>
    <row r="218" spans="1:131" x14ac:dyDescent="0.2">
      <c r="A218" s="184"/>
      <c r="B218" s="184"/>
      <c r="C218" s="184"/>
      <c r="D218" s="184"/>
      <c r="E218" s="184"/>
      <c r="F218" s="184"/>
      <c r="G218" s="184"/>
      <c r="H218" s="184"/>
      <c r="I218" s="184"/>
      <c r="J218" s="184"/>
      <c r="K218" s="184"/>
      <c r="L218" s="184"/>
      <c r="M218" s="184"/>
      <c r="N218" s="184"/>
      <c r="O218" s="184"/>
      <c r="P218" s="184"/>
      <c r="Q218" s="184"/>
      <c r="R218" s="184"/>
      <c r="S218" s="184"/>
      <c r="T218" s="184"/>
      <c r="U218" s="184"/>
      <c r="V218" s="184"/>
      <c r="W218" s="184"/>
      <c r="X218" s="184"/>
      <c r="Y218" s="184"/>
      <c r="Z218" s="184"/>
      <c r="AA218" s="184"/>
      <c r="AB218" s="184"/>
      <c r="AC218" s="184"/>
      <c r="AD218" s="184"/>
      <c r="AE218" s="184"/>
      <c r="AF218" s="184"/>
      <c r="AG218" s="184"/>
      <c r="AH218" s="184"/>
      <c r="AI218" s="184"/>
      <c r="AJ218" s="184"/>
      <c r="AK218" s="184"/>
      <c r="AL218" s="184"/>
      <c r="AM218" s="184"/>
      <c r="AN218" s="184"/>
      <c r="AO218" s="184"/>
      <c r="AP218" s="184"/>
      <c r="AQ218" s="184"/>
      <c r="AR218" s="184"/>
      <c r="AS218" s="184"/>
      <c r="AT218" s="184"/>
      <c r="AU218" s="184"/>
      <c r="AV218" s="184"/>
      <c r="AW218" s="184"/>
      <c r="AX218" s="184"/>
      <c r="AY218" s="184"/>
      <c r="AZ218" s="184"/>
      <c r="BA218" s="184"/>
      <c r="BB218" s="184"/>
      <c r="BC218" s="184"/>
      <c r="BD218" s="184"/>
      <c r="BE218" s="184"/>
      <c r="BF218" s="184"/>
      <c r="BG218" s="184"/>
      <c r="BH218" s="184"/>
      <c r="BI218" s="184"/>
      <c r="BJ218" s="184"/>
      <c r="BK218" s="184"/>
      <c r="BL218" s="184"/>
      <c r="BM218" s="184"/>
      <c r="BN218" s="184"/>
      <c r="BO218" s="184"/>
      <c r="BP218" s="184"/>
      <c r="BQ218" s="184"/>
      <c r="BR218" s="184"/>
      <c r="BS218" s="184"/>
      <c r="BT218" s="184"/>
      <c r="BU218" s="184"/>
      <c r="BV218" s="184"/>
      <c r="BW218" s="184"/>
      <c r="BX218" s="184"/>
      <c r="BY218" s="184"/>
      <c r="BZ218" s="184"/>
      <c r="CA218" s="184"/>
      <c r="CB218" s="184"/>
      <c r="CC218" s="184"/>
      <c r="CD218" s="184"/>
      <c r="CE218" s="184"/>
      <c r="CF218" s="184"/>
      <c r="CG218" s="184"/>
      <c r="CH218" s="184"/>
      <c r="CI218" s="184"/>
      <c r="CJ218" s="184"/>
      <c r="CK218" s="184"/>
      <c r="CL218" s="184"/>
      <c r="CM218" s="184"/>
      <c r="CN218" s="184"/>
      <c r="CO218" s="184"/>
      <c r="CP218" s="184"/>
      <c r="CQ218" s="184"/>
      <c r="CR218" s="184"/>
      <c r="CS218" s="184"/>
      <c r="CT218" s="184"/>
      <c r="CU218" s="184"/>
      <c r="CV218" s="184"/>
      <c r="CW218" s="184"/>
      <c r="CX218" s="184"/>
      <c r="CY218" s="184"/>
      <c r="CZ218" s="184"/>
      <c r="DA218" s="184"/>
      <c r="DB218" s="184"/>
      <c r="DC218" s="184"/>
      <c r="DD218" s="184"/>
      <c r="DE218" s="184"/>
      <c r="DF218" s="184"/>
      <c r="DG218" s="184"/>
      <c r="DH218" s="184"/>
      <c r="DI218" s="184"/>
      <c r="DJ218" s="184"/>
      <c r="DK218" s="184"/>
      <c r="DL218" s="184"/>
      <c r="DM218" s="184"/>
      <c r="DN218" s="184"/>
      <c r="DO218" s="184"/>
      <c r="DP218" s="184"/>
      <c r="DQ218" s="184"/>
      <c r="DR218" s="184"/>
      <c r="DS218" s="184"/>
      <c r="DT218" s="184"/>
      <c r="DU218" s="184"/>
      <c r="DV218" s="184"/>
      <c r="DW218" s="184"/>
      <c r="DX218" s="184"/>
      <c r="DY218" s="184"/>
      <c r="DZ218" s="184"/>
      <c r="EA218" s="224"/>
    </row>
    <row r="219" spans="1:131" x14ac:dyDescent="0.2">
      <c r="A219" s="184"/>
      <c r="B219" s="184"/>
      <c r="C219" s="184"/>
      <c r="D219" s="184"/>
      <c r="E219" s="184"/>
      <c r="F219" s="184"/>
      <c r="G219" s="184"/>
      <c r="H219" s="184"/>
      <c r="I219" s="184"/>
      <c r="J219" s="184"/>
      <c r="K219" s="184"/>
      <c r="L219" s="184"/>
      <c r="M219" s="184"/>
      <c r="N219" s="184"/>
      <c r="O219" s="184"/>
      <c r="P219" s="184"/>
      <c r="Q219" s="184"/>
      <c r="R219" s="184"/>
      <c r="S219" s="184"/>
      <c r="T219" s="184"/>
      <c r="U219" s="184"/>
      <c r="V219" s="184"/>
      <c r="W219" s="184"/>
      <c r="X219" s="184"/>
      <c r="Y219" s="184"/>
      <c r="Z219" s="184"/>
      <c r="AA219" s="184"/>
      <c r="AB219" s="184"/>
      <c r="AC219" s="184"/>
      <c r="AD219" s="184"/>
      <c r="AE219" s="184"/>
      <c r="AF219" s="184"/>
      <c r="AG219" s="184"/>
      <c r="AH219" s="184"/>
      <c r="AI219" s="184"/>
      <c r="AJ219" s="184"/>
      <c r="AK219" s="184"/>
      <c r="AL219" s="184"/>
      <c r="AM219" s="184"/>
      <c r="AN219" s="184"/>
      <c r="AO219" s="184"/>
      <c r="AP219" s="184"/>
      <c r="AQ219" s="184"/>
      <c r="AR219" s="184"/>
      <c r="AS219" s="184"/>
      <c r="AT219" s="184"/>
      <c r="AU219" s="184"/>
      <c r="AV219" s="184"/>
      <c r="AW219" s="184"/>
      <c r="AX219" s="184"/>
      <c r="AY219" s="184"/>
      <c r="AZ219" s="184"/>
      <c r="BA219" s="184"/>
      <c r="BB219" s="184"/>
      <c r="BC219" s="184"/>
      <c r="BD219" s="184"/>
      <c r="BE219" s="184"/>
      <c r="BF219" s="184"/>
      <c r="BG219" s="184"/>
      <c r="BH219" s="184"/>
      <c r="BI219" s="184"/>
      <c r="BJ219" s="184"/>
      <c r="BK219" s="184"/>
      <c r="BL219" s="184"/>
      <c r="BM219" s="184"/>
      <c r="BN219" s="184"/>
      <c r="BO219" s="184"/>
      <c r="BP219" s="184"/>
      <c r="BQ219" s="184"/>
      <c r="BR219" s="184"/>
      <c r="BS219" s="184"/>
      <c r="BT219" s="184"/>
      <c r="BU219" s="184"/>
      <c r="BV219" s="184"/>
      <c r="BW219" s="184"/>
      <c r="BX219" s="184"/>
      <c r="BY219" s="184"/>
      <c r="BZ219" s="184"/>
      <c r="CA219" s="184"/>
      <c r="CB219" s="184"/>
      <c r="CC219" s="184"/>
      <c r="CD219" s="184"/>
      <c r="CE219" s="184"/>
      <c r="CF219" s="184"/>
      <c r="CG219" s="184"/>
      <c r="CH219" s="184"/>
      <c r="CI219" s="184"/>
      <c r="CJ219" s="184"/>
      <c r="CK219" s="184"/>
      <c r="CL219" s="184"/>
      <c r="CM219" s="184"/>
      <c r="CN219" s="184"/>
      <c r="CO219" s="184"/>
      <c r="CP219" s="184"/>
      <c r="CQ219" s="184"/>
      <c r="CR219" s="184"/>
      <c r="CS219" s="184"/>
      <c r="CT219" s="184"/>
      <c r="CU219" s="184"/>
      <c r="CV219" s="184"/>
      <c r="CW219" s="184"/>
      <c r="CX219" s="184"/>
      <c r="CY219" s="184"/>
      <c r="CZ219" s="184"/>
      <c r="DA219" s="184"/>
      <c r="DB219" s="184"/>
      <c r="DC219" s="184"/>
      <c r="DD219" s="184"/>
      <c r="DE219" s="184"/>
      <c r="DF219" s="184"/>
      <c r="DG219" s="184"/>
      <c r="DH219" s="184"/>
      <c r="DI219" s="184"/>
      <c r="DJ219" s="184"/>
      <c r="DK219" s="184"/>
      <c r="DL219" s="184"/>
      <c r="DM219" s="184"/>
      <c r="DN219" s="184"/>
      <c r="DO219" s="184"/>
      <c r="DP219" s="184"/>
      <c r="DQ219" s="184"/>
      <c r="DR219" s="184"/>
      <c r="DS219" s="184"/>
      <c r="DT219" s="184"/>
      <c r="DU219" s="184"/>
      <c r="DV219" s="184"/>
      <c r="DW219" s="184"/>
      <c r="DX219" s="184"/>
      <c r="DY219" s="184"/>
      <c r="DZ219" s="184"/>
      <c r="EA219" s="224"/>
    </row>
    <row r="220" spans="1:131" x14ac:dyDescent="0.2">
      <c r="A220" s="184"/>
      <c r="B220" s="184"/>
      <c r="C220" s="184"/>
      <c r="D220" s="184"/>
      <c r="E220" s="184"/>
      <c r="F220" s="184"/>
      <c r="G220" s="184"/>
      <c r="H220" s="184"/>
      <c r="I220" s="184"/>
      <c r="J220" s="184"/>
      <c r="K220" s="184"/>
      <c r="L220" s="184"/>
      <c r="M220" s="184"/>
      <c r="N220" s="184"/>
      <c r="O220" s="184"/>
      <c r="P220" s="184"/>
      <c r="Q220" s="184"/>
      <c r="R220" s="184"/>
      <c r="S220" s="184"/>
      <c r="T220" s="184"/>
      <c r="U220" s="184"/>
      <c r="V220" s="184"/>
      <c r="W220" s="184"/>
      <c r="X220" s="184"/>
      <c r="Y220" s="184"/>
      <c r="Z220" s="184"/>
      <c r="AA220" s="184"/>
      <c r="AB220" s="184"/>
      <c r="AC220" s="184"/>
      <c r="AD220" s="184"/>
      <c r="AE220" s="184"/>
      <c r="AF220" s="184"/>
      <c r="AG220" s="184"/>
      <c r="AH220" s="184"/>
      <c r="AI220" s="184"/>
      <c r="AJ220" s="184"/>
      <c r="AK220" s="184"/>
      <c r="AL220" s="184"/>
      <c r="AM220" s="184"/>
      <c r="AN220" s="184"/>
      <c r="AO220" s="184"/>
      <c r="AP220" s="184"/>
      <c r="AQ220" s="184"/>
      <c r="AR220" s="184"/>
      <c r="AS220" s="184"/>
      <c r="AT220" s="184"/>
      <c r="AU220" s="184"/>
      <c r="AV220" s="184"/>
      <c r="AW220" s="184"/>
      <c r="AX220" s="184"/>
      <c r="AY220" s="184"/>
      <c r="AZ220" s="184"/>
      <c r="BA220" s="184"/>
      <c r="BB220" s="184"/>
      <c r="BC220" s="184"/>
      <c r="BD220" s="184"/>
      <c r="BE220" s="184"/>
      <c r="BF220" s="184"/>
      <c r="BG220" s="184"/>
      <c r="BH220" s="184"/>
      <c r="BI220" s="184"/>
      <c r="BJ220" s="184"/>
      <c r="BK220" s="184"/>
      <c r="BL220" s="184"/>
      <c r="BM220" s="184"/>
      <c r="BN220" s="184"/>
      <c r="BO220" s="184"/>
      <c r="BP220" s="184"/>
      <c r="BQ220" s="184"/>
      <c r="BR220" s="184"/>
      <c r="BS220" s="184"/>
      <c r="BT220" s="184"/>
      <c r="BU220" s="184"/>
      <c r="BV220" s="184"/>
      <c r="BW220" s="184"/>
      <c r="BX220" s="184"/>
      <c r="BY220" s="184"/>
      <c r="BZ220" s="184"/>
      <c r="CA220" s="184"/>
      <c r="CB220" s="184"/>
      <c r="CC220" s="184"/>
      <c r="CD220" s="184"/>
      <c r="CE220" s="184"/>
      <c r="CF220" s="184"/>
      <c r="CG220" s="184"/>
      <c r="CH220" s="184"/>
      <c r="CI220" s="184"/>
      <c r="CJ220" s="184"/>
      <c r="CK220" s="184"/>
      <c r="CL220" s="184"/>
      <c r="CM220" s="184"/>
      <c r="CN220" s="184"/>
      <c r="CO220" s="184"/>
      <c r="CP220" s="184"/>
      <c r="CQ220" s="184"/>
      <c r="CR220" s="184"/>
      <c r="CS220" s="184"/>
      <c r="CT220" s="184"/>
      <c r="CU220" s="184"/>
      <c r="CV220" s="184"/>
      <c r="CW220" s="184"/>
      <c r="CX220" s="184"/>
      <c r="CY220" s="184"/>
      <c r="CZ220" s="184"/>
      <c r="DA220" s="184"/>
      <c r="DB220" s="184"/>
      <c r="DC220" s="184"/>
      <c r="DD220" s="184"/>
      <c r="DE220" s="184"/>
      <c r="DF220" s="184"/>
      <c r="DG220" s="184"/>
      <c r="DH220" s="184"/>
      <c r="DI220" s="184"/>
      <c r="DJ220" s="184"/>
      <c r="DK220" s="184"/>
      <c r="DL220" s="184"/>
      <c r="DM220" s="184"/>
      <c r="DN220" s="184"/>
      <c r="DO220" s="184"/>
      <c r="DP220" s="184"/>
      <c r="DQ220" s="184"/>
      <c r="DR220" s="184"/>
      <c r="DS220" s="184"/>
      <c r="DT220" s="184"/>
      <c r="DU220" s="184"/>
      <c r="DV220" s="184"/>
      <c r="DW220" s="184"/>
      <c r="DX220" s="184"/>
      <c r="DY220" s="184"/>
      <c r="DZ220" s="184"/>
      <c r="EA220" s="224"/>
    </row>
    <row r="221" spans="1:131" x14ac:dyDescent="0.2">
      <c r="A221" s="184"/>
      <c r="B221" s="184"/>
      <c r="C221" s="184"/>
      <c r="D221" s="184"/>
      <c r="E221" s="184"/>
      <c r="F221" s="184"/>
      <c r="G221" s="184"/>
      <c r="H221" s="184"/>
      <c r="I221" s="184"/>
      <c r="J221" s="184"/>
      <c r="K221" s="184"/>
      <c r="L221" s="184"/>
      <c r="M221" s="184"/>
      <c r="N221" s="184"/>
      <c r="O221" s="184"/>
      <c r="P221" s="184"/>
      <c r="Q221" s="184"/>
      <c r="R221" s="184"/>
      <c r="S221" s="184"/>
      <c r="T221" s="184"/>
      <c r="U221" s="184"/>
      <c r="V221" s="184"/>
      <c r="W221" s="184"/>
      <c r="X221" s="184"/>
      <c r="Y221" s="184"/>
      <c r="Z221" s="184"/>
      <c r="AA221" s="184"/>
      <c r="AB221" s="184"/>
      <c r="AC221" s="184"/>
      <c r="AD221" s="184"/>
      <c r="AE221" s="184"/>
      <c r="AF221" s="184"/>
      <c r="AG221" s="184"/>
      <c r="AH221" s="184"/>
      <c r="AI221" s="184"/>
      <c r="AJ221" s="184"/>
      <c r="AK221" s="184"/>
      <c r="AL221" s="184"/>
      <c r="AM221" s="184"/>
      <c r="AN221" s="184"/>
      <c r="AO221" s="184"/>
      <c r="AP221" s="184"/>
      <c r="AQ221" s="184"/>
      <c r="AR221" s="184"/>
      <c r="AS221" s="184"/>
      <c r="AT221" s="184"/>
      <c r="AU221" s="184"/>
      <c r="AV221" s="184"/>
      <c r="AW221" s="184"/>
      <c r="AX221" s="184"/>
      <c r="AY221" s="184"/>
      <c r="AZ221" s="184"/>
      <c r="BA221" s="184"/>
      <c r="BB221" s="184"/>
      <c r="BC221" s="184"/>
      <c r="BD221" s="184"/>
      <c r="BE221" s="184"/>
      <c r="BF221" s="184"/>
      <c r="BG221" s="184"/>
      <c r="BH221" s="184"/>
      <c r="BI221" s="184"/>
      <c r="BJ221" s="184"/>
      <c r="BK221" s="184"/>
      <c r="BL221" s="184"/>
      <c r="BM221" s="184"/>
      <c r="BN221" s="184"/>
      <c r="BO221" s="184"/>
      <c r="BP221" s="184"/>
      <c r="BQ221" s="184"/>
      <c r="BR221" s="184"/>
      <c r="BS221" s="184"/>
      <c r="BT221" s="184"/>
      <c r="BU221" s="184"/>
      <c r="BV221" s="184"/>
      <c r="BW221" s="184"/>
      <c r="BX221" s="184"/>
      <c r="BY221" s="184"/>
      <c r="BZ221" s="184"/>
      <c r="CA221" s="184"/>
      <c r="CB221" s="184"/>
      <c r="CC221" s="184"/>
      <c r="CD221" s="184"/>
      <c r="CE221" s="184"/>
      <c r="CF221" s="184"/>
      <c r="CG221" s="184"/>
      <c r="CH221" s="184"/>
      <c r="CI221" s="184"/>
      <c r="CJ221" s="184"/>
      <c r="CK221" s="184"/>
      <c r="CL221" s="184"/>
      <c r="CM221" s="184"/>
      <c r="CN221" s="184"/>
      <c r="CO221" s="184"/>
      <c r="CP221" s="184"/>
      <c r="CQ221" s="184"/>
      <c r="CR221" s="184"/>
      <c r="CS221" s="184"/>
      <c r="CT221" s="184"/>
      <c r="CU221" s="184"/>
      <c r="CV221" s="184"/>
      <c r="CW221" s="184"/>
      <c r="CX221" s="184"/>
      <c r="CY221" s="184"/>
      <c r="CZ221" s="184"/>
      <c r="DA221" s="184"/>
      <c r="DB221" s="184"/>
      <c r="DC221" s="184"/>
      <c r="DD221" s="184"/>
      <c r="DE221" s="184"/>
      <c r="DF221" s="184"/>
      <c r="DG221" s="184"/>
      <c r="DH221" s="184"/>
      <c r="DI221" s="184"/>
      <c r="DJ221" s="184"/>
      <c r="DK221" s="184"/>
      <c r="DL221" s="184"/>
      <c r="DM221" s="184"/>
      <c r="DN221" s="184"/>
      <c r="DO221" s="184"/>
      <c r="DP221" s="184"/>
      <c r="DQ221" s="184"/>
      <c r="DR221" s="184"/>
      <c r="DS221" s="184"/>
      <c r="DT221" s="184"/>
      <c r="DU221" s="184"/>
      <c r="DV221" s="184"/>
      <c r="DW221" s="184"/>
      <c r="DX221" s="184"/>
      <c r="DY221" s="184"/>
      <c r="DZ221" s="184"/>
      <c r="EA221" s="224"/>
    </row>
    <row r="222" spans="1:131" x14ac:dyDescent="0.2">
      <c r="A222" s="184"/>
      <c r="B222" s="184"/>
      <c r="C222" s="184"/>
      <c r="D222" s="184"/>
      <c r="E222" s="184"/>
      <c r="F222" s="184"/>
      <c r="G222" s="184"/>
      <c r="H222" s="184"/>
      <c r="I222" s="184"/>
      <c r="J222" s="184"/>
      <c r="K222" s="184"/>
      <c r="L222" s="184"/>
      <c r="M222" s="184"/>
      <c r="N222" s="184"/>
      <c r="O222" s="184"/>
      <c r="P222" s="184"/>
      <c r="Q222" s="184"/>
      <c r="R222" s="184"/>
      <c r="S222" s="184"/>
      <c r="T222" s="184"/>
      <c r="U222" s="184"/>
      <c r="V222" s="184"/>
      <c r="W222" s="184"/>
      <c r="X222" s="184"/>
      <c r="Y222" s="184"/>
      <c r="Z222" s="184"/>
      <c r="AA222" s="184"/>
      <c r="AB222" s="184"/>
      <c r="AC222" s="184"/>
      <c r="AD222" s="184"/>
      <c r="AE222" s="184"/>
      <c r="AF222" s="184"/>
      <c r="AG222" s="184"/>
      <c r="AH222" s="184"/>
      <c r="AI222" s="184"/>
      <c r="AJ222" s="184"/>
      <c r="AK222" s="184"/>
      <c r="AL222" s="184"/>
      <c r="AM222" s="184"/>
      <c r="AN222" s="184"/>
      <c r="AO222" s="184"/>
      <c r="AP222" s="184"/>
      <c r="AQ222" s="184"/>
      <c r="AR222" s="184"/>
      <c r="AS222" s="184"/>
      <c r="AT222" s="184"/>
      <c r="AU222" s="184"/>
      <c r="AV222" s="184"/>
      <c r="AW222" s="184"/>
      <c r="AX222" s="184"/>
      <c r="AY222" s="184"/>
      <c r="AZ222" s="184"/>
      <c r="BA222" s="184"/>
      <c r="BB222" s="184"/>
      <c r="BC222" s="184"/>
      <c r="BD222" s="184"/>
      <c r="BE222" s="184"/>
      <c r="BF222" s="184"/>
      <c r="BG222" s="184"/>
      <c r="BH222" s="184"/>
      <c r="BI222" s="184"/>
      <c r="BJ222" s="184"/>
      <c r="BK222" s="184"/>
      <c r="BL222" s="184"/>
      <c r="BM222" s="184"/>
      <c r="BN222" s="184"/>
      <c r="BO222" s="184"/>
      <c r="BP222" s="184"/>
      <c r="BQ222" s="184"/>
      <c r="BR222" s="184"/>
      <c r="BS222" s="184"/>
      <c r="BT222" s="184"/>
      <c r="BU222" s="184"/>
      <c r="BV222" s="184"/>
      <c r="BW222" s="184"/>
      <c r="BX222" s="184"/>
      <c r="BY222" s="184"/>
      <c r="BZ222" s="184"/>
      <c r="CA222" s="184"/>
      <c r="CB222" s="184"/>
      <c r="CC222" s="184"/>
      <c r="CD222" s="184"/>
      <c r="CE222" s="184"/>
      <c r="CF222" s="184"/>
      <c r="CG222" s="184"/>
      <c r="CH222" s="184"/>
      <c r="CI222" s="184"/>
      <c r="CJ222" s="184"/>
      <c r="CK222" s="184"/>
      <c r="CL222" s="184"/>
      <c r="CM222" s="184"/>
      <c r="CN222" s="184"/>
      <c r="CO222" s="184"/>
      <c r="CP222" s="184"/>
      <c r="CQ222" s="184"/>
      <c r="CR222" s="184"/>
      <c r="CS222" s="184"/>
      <c r="CT222" s="184"/>
      <c r="CU222" s="184"/>
      <c r="CV222" s="184"/>
      <c r="CW222" s="184"/>
      <c r="CX222" s="184"/>
      <c r="CY222" s="184"/>
      <c r="CZ222" s="184"/>
      <c r="DA222" s="184"/>
      <c r="DB222" s="184"/>
      <c r="DC222" s="184"/>
      <c r="DD222" s="184"/>
      <c r="DE222" s="184"/>
      <c r="DF222" s="184"/>
      <c r="DG222" s="184"/>
      <c r="DH222" s="184"/>
      <c r="DI222" s="184"/>
      <c r="DJ222" s="184"/>
      <c r="DK222" s="184"/>
      <c r="DL222" s="184"/>
      <c r="DM222" s="184"/>
      <c r="DN222" s="184"/>
      <c r="DO222" s="184"/>
      <c r="DP222" s="184"/>
      <c r="DQ222" s="184"/>
      <c r="DR222" s="184"/>
      <c r="DS222" s="184"/>
      <c r="DT222" s="184"/>
      <c r="DU222" s="184"/>
      <c r="DV222" s="184"/>
      <c r="DW222" s="184"/>
      <c r="DX222" s="184"/>
      <c r="DY222" s="184"/>
      <c r="DZ222" s="184"/>
      <c r="EA222" s="224"/>
    </row>
    <row r="223" spans="1:131" x14ac:dyDescent="0.2">
      <c r="A223" s="184"/>
      <c r="B223" s="184"/>
      <c r="C223" s="184"/>
      <c r="D223" s="184"/>
      <c r="E223" s="184"/>
      <c r="F223" s="184"/>
      <c r="G223" s="184"/>
      <c r="H223" s="184"/>
      <c r="I223" s="184"/>
      <c r="J223" s="184"/>
      <c r="K223" s="184"/>
      <c r="L223" s="184"/>
      <c r="M223" s="184"/>
      <c r="N223" s="184"/>
      <c r="O223" s="184"/>
      <c r="P223" s="184"/>
      <c r="Q223" s="184"/>
      <c r="R223" s="184"/>
      <c r="S223" s="184"/>
      <c r="T223" s="184"/>
      <c r="U223" s="184"/>
      <c r="V223" s="184"/>
      <c r="W223" s="184"/>
      <c r="X223" s="184"/>
      <c r="Y223" s="184"/>
      <c r="Z223" s="184"/>
      <c r="AA223" s="184"/>
      <c r="AB223" s="184"/>
      <c r="AC223" s="184"/>
      <c r="AD223" s="184"/>
      <c r="AE223" s="184"/>
      <c r="AF223" s="184"/>
      <c r="AG223" s="184"/>
      <c r="AH223" s="184"/>
      <c r="AI223" s="184"/>
      <c r="AJ223" s="184"/>
      <c r="AK223" s="184"/>
      <c r="AL223" s="184"/>
      <c r="AM223" s="184"/>
      <c r="AN223" s="184"/>
      <c r="AO223" s="184"/>
      <c r="AP223" s="184"/>
      <c r="AQ223" s="184"/>
      <c r="AR223" s="184"/>
      <c r="AS223" s="184"/>
      <c r="AT223" s="184"/>
      <c r="AU223" s="184"/>
      <c r="AV223" s="184"/>
      <c r="AW223" s="184"/>
      <c r="AX223" s="184"/>
      <c r="AY223" s="184"/>
      <c r="AZ223" s="184"/>
      <c r="BA223" s="184"/>
      <c r="BB223" s="184"/>
      <c r="BC223" s="184"/>
      <c r="BD223" s="184"/>
      <c r="BE223" s="184"/>
      <c r="BF223" s="184"/>
      <c r="BG223" s="184"/>
      <c r="BH223" s="184"/>
      <c r="BI223" s="184"/>
      <c r="BJ223" s="184"/>
      <c r="BK223" s="184"/>
      <c r="BL223" s="184"/>
      <c r="BM223" s="184"/>
      <c r="BN223" s="184"/>
      <c r="BO223" s="184"/>
      <c r="BP223" s="184"/>
      <c r="BQ223" s="184"/>
      <c r="BR223" s="184"/>
      <c r="BS223" s="184"/>
      <c r="BT223" s="184"/>
      <c r="BU223" s="184"/>
      <c r="BV223" s="184"/>
      <c r="BW223" s="184"/>
      <c r="BX223" s="184"/>
      <c r="BY223" s="184"/>
      <c r="BZ223" s="184"/>
      <c r="CA223" s="184"/>
      <c r="CB223" s="184"/>
      <c r="CC223" s="184"/>
      <c r="CD223" s="184"/>
      <c r="CE223" s="184"/>
      <c r="CF223" s="184"/>
      <c r="CG223" s="184"/>
      <c r="CH223" s="184"/>
      <c r="CI223" s="184"/>
      <c r="CJ223" s="184"/>
      <c r="CK223" s="184"/>
      <c r="CL223" s="184"/>
      <c r="CM223" s="184"/>
      <c r="CN223" s="184"/>
      <c r="CO223" s="184"/>
      <c r="CP223" s="184"/>
      <c r="CQ223" s="184"/>
      <c r="CR223" s="184"/>
      <c r="CS223" s="184"/>
      <c r="CT223" s="184"/>
      <c r="CU223" s="184"/>
      <c r="CV223" s="184"/>
      <c r="CW223" s="184"/>
      <c r="CX223" s="184"/>
      <c r="CY223" s="184"/>
      <c r="CZ223" s="184"/>
      <c r="DA223" s="184"/>
      <c r="DB223" s="184"/>
      <c r="DC223" s="184"/>
      <c r="DD223" s="184"/>
      <c r="DE223" s="184"/>
      <c r="DF223" s="184"/>
      <c r="DG223" s="184"/>
      <c r="DH223" s="184"/>
      <c r="DI223" s="184"/>
      <c r="DJ223" s="184"/>
      <c r="DK223" s="184"/>
      <c r="DL223" s="184"/>
      <c r="DM223" s="184"/>
      <c r="DN223" s="184"/>
      <c r="DO223" s="184"/>
      <c r="DP223" s="184"/>
      <c r="DQ223" s="184"/>
      <c r="DR223" s="184"/>
      <c r="DS223" s="184"/>
      <c r="DT223" s="184"/>
      <c r="DU223" s="184"/>
      <c r="DV223" s="184"/>
      <c r="DW223" s="184"/>
      <c r="DX223" s="184"/>
      <c r="DY223" s="184"/>
      <c r="DZ223" s="184"/>
      <c r="EA223" s="224"/>
    </row>
    <row r="224" spans="1:131" x14ac:dyDescent="0.2">
      <c r="A224" s="184"/>
      <c r="B224" s="184"/>
      <c r="C224" s="184"/>
      <c r="D224" s="184"/>
      <c r="E224" s="184"/>
      <c r="F224" s="184"/>
      <c r="G224" s="184"/>
      <c r="H224" s="184"/>
      <c r="I224" s="184"/>
      <c r="J224" s="184"/>
      <c r="K224" s="184"/>
      <c r="L224" s="184"/>
      <c r="M224" s="184"/>
      <c r="N224" s="184"/>
      <c r="O224" s="184"/>
      <c r="P224" s="184"/>
      <c r="Q224" s="184"/>
      <c r="R224" s="184"/>
      <c r="S224" s="184"/>
      <c r="T224" s="184"/>
      <c r="U224" s="184"/>
      <c r="V224" s="184"/>
      <c r="W224" s="184"/>
      <c r="X224" s="184"/>
      <c r="Y224" s="184"/>
      <c r="Z224" s="184"/>
      <c r="AA224" s="184"/>
      <c r="AB224" s="184"/>
      <c r="AC224" s="184"/>
      <c r="AD224" s="184"/>
      <c r="AE224" s="184"/>
      <c r="AF224" s="184"/>
      <c r="AG224" s="184"/>
      <c r="AH224" s="184"/>
      <c r="AI224" s="184"/>
      <c r="AJ224" s="184"/>
      <c r="AK224" s="184"/>
      <c r="AL224" s="184"/>
      <c r="AM224" s="184"/>
      <c r="AN224" s="184"/>
      <c r="AO224" s="184"/>
      <c r="AP224" s="184"/>
      <c r="AQ224" s="184"/>
      <c r="AR224" s="184"/>
      <c r="AS224" s="184"/>
      <c r="AT224" s="184"/>
      <c r="AU224" s="184"/>
      <c r="AV224" s="184"/>
      <c r="AW224" s="184"/>
      <c r="AX224" s="184"/>
      <c r="AY224" s="184"/>
      <c r="AZ224" s="184"/>
      <c r="BA224" s="184"/>
      <c r="BB224" s="184"/>
      <c r="BC224" s="184"/>
      <c r="BD224" s="184"/>
      <c r="BE224" s="184"/>
      <c r="BF224" s="184"/>
      <c r="BG224" s="184"/>
      <c r="BH224" s="184"/>
      <c r="BI224" s="184"/>
      <c r="BJ224" s="184"/>
      <c r="BK224" s="184"/>
      <c r="BL224" s="184"/>
      <c r="BM224" s="184"/>
      <c r="BN224" s="184"/>
      <c r="BO224" s="184"/>
      <c r="BP224" s="184"/>
      <c r="BQ224" s="184"/>
      <c r="BR224" s="184"/>
      <c r="BS224" s="184"/>
      <c r="BT224" s="184"/>
      <c r="BU224" s="184"/>
      <c r="BV224" s="184"/>
      <c r="BW224" s="184"/>
      <c r="BX224" s="184"/>
      <c r="BY224" s="184"/>
      <c r="BZ224" s="184"/>
      <c r="CA224" s="184"/>
      <c r="CB224" s="184"/>
      <c r="CC224" s="184"/>
      <c r="CD224" s="184"/>
      <c r="CE224" s="184"/>
      <c r="CF224" s="184"/>
      <c r="CG224" s="184"/>
      <c r="CH224" s="184"/>
      <c r="CI224" s="184"/>
      <c r="CJ224" s="184"/>
      <c r="CK224" s="184"/>
      <c r="CL224" s="184"/>
      <c r="CM224" s="184"/>
      <c r="CN224" s="184"/>
      <c r="CO224" s="184"/>
      <c r="CP224" s="184"/>
      <c r="CQ224" s="184"/>
      <c r="CR224" s="184"/>
      <c r="CS224" s="184"/>
      <c r="CT224" s="184"/>
      <c r="CU224" s="184"/>
      <c r="CV224" s="184"/>
      <c r="CW224" s="184"/>
      <c r="CX224" s="184"/>
      <c r="CY224" s="184"/>
      <c r="CZ224" s="184"/>
      <c r="DA224" s="184"/>
      <c r="DB224" s="184"/>
      <c r="DC224" s="184"/>
      <c r="DD224" s="184"/>
      <c r="DE224" s="184"/>
      <c r="DF224" s="184"/>
      <c r="DG224" s="184"/>
      <c r="DH224" s="184"/>
      <c r="DI224" s="184"/>
      <c r="DJ224" s="184"/>
      <c r="DK224" s="184"/>
      <c r="DL224" s="184"/>
      <c r="DM224" s="184"/>
      <c r="DN224" s="184"/>
      <c r="DO224" s="184"/>
      <c r="DP224" s="184"/>
      <c r="DQ224" s="184"/>
      <c r="DR224" s="184"/>
      <c r="DS224" s="184"/>
      <c r="DT224" s="184"/>
      <c r="DU224" s="184"/>
      <c r="DV224" s="184"/>
      <c r="DW224" s="184"/>
      <c r="DX224" s="184"/>
      <c r="DY224" s="184"/>
      <c r="DZ224" s="184"/>
      <c r="EA224" s="224"/>
    </row>
    <row r="225" spans="1:131" x14ac:dyDescent="0.2">
      <c r="A225" s="184"/>
      <c r="B225" s="184"/>
      <c r="C225" s="184"/>
      <c r="D225" s="184"/>
      <c r="E225" s="184"/>
      <c r="F225" s="184"/>
      <c r="G225" s="184"/>
      <c r="H225" s="184"/>
      <c r="I225" s="184"/>
      <c r="J225" s="184"/>
      <c r="K225" s="184"/>
      <c r="L225" s="184"/>
      <c r="M225" s="184"/>
      <c r="N225" s="184"/>
      <c r="O225" s="184"/>
      <c r="P225" s="184"/>
      <c r="Q225" s="184"/>
      <c r="R225" s="184"/>
      <c r="S225" s="184"/>
      <c r="T225" s="184"/>
      <c r="U225" s="184"/>
      <c r="V225" s="184"/>
      <c r="W225" s="184"/>
      <c r="X225" s="184"/>
      <c r="Y225" s="184"/>
      <c r="Z225" s="184"/>
      <c r="AA225" s="184"/>
      <c r="AB225" s="184"/>
      <c r="AC225" s="184"/>
      <c r="AD225" s="184"/>
      <c r="AE225" s="184"/>
      <c r="AF225" s="184"/>
      <c r="AG225" s="184"/>
      <c r="AH225" s="184"/>
      <c r="AI225" s="184"/>
      <c r="AJ225" s="184"/>
      <c r="AK225" s="184"/>
      <c r="AL225" s="184"/>
      <c r="AM225" s="184"/>
      <c r="AN225" s="184"/>
      <c r="AO225" s="184"/>
      <c r="AP225" s="184"/>
      <c r="AQ225" s="184"/>
      <c r="AR225" s="184"/>
      <c r="AS225" s="184"/>
      <c r="AT225" s="184"/>
      <c r="AU225" s="184"/>
      <c r="AV225" s="184"/>
      <c r="AW225" s="184"/>
      <c r="AX225" s="184"/>
      <c r="AY225" s="184"/>
      <c r="AZ225" s="184"/>
      <c r="BA225" s="184"/>
      <c r="BB225" s="184"/>
      <c r="BC225" s="184"/>
      <c r="BD225" s="184"/>
      <c r="BE225" s="184"/>
      <c r="BF225" s="184"/>
      <c r="BG225" s="184"/>
      <c r="BH225" s="184"/>
      <c r="BI225" s="184"/>
      <c r="BJ225" s="184"/>
      <c r="BK225" s="184"/>
      <c r="BL225" s="184"/>
      <c r="BM225" s="184"/>
      <c r="BN225" s="184"/>
      <c r="BO225" s="184"/>
      <c r="BP225" s="184"/>
      <c r="BQ225" s="184"/>
      <c r="BR225" s="184"/>
      <c r="BS225" s="184"/>
      <c r="BT225" s="184"/>
      <c r="BU225" s="184"/>
      <c r="BV225" s="184"/>
      <c r="BW225" s="184"/>
      <c r="BX225" s="184"/>
      <c r="BY225" s="184"/>
      <c r="BZ225" s="184"/>
      <c r="CA225" s="184"/>
      <c r="CB225" s="184"/>
      <c r="CC225" s="184"/>
      <c r="CD225" s="184"/>
      <c r="CE225" s="184"/>
      <c r="CF225" s="184"/>
      <c r="CG225" s="184"/>
      <c r="CH225" s="184"/>
      <c r="CI225" s="184"/>
      <c r="CJ225" s="184"/>
      <c r="CK225" s="184"/>
      <c r="CL225" s="184"/>
      <c r="CM225" s="184"/>
      <c r="CN225" s="184"/>
      <c r="CO225" s="184"/>
      <c r="CP225" s="184"/>
      <c r="CQ225" s="184"/>
      <c r="CR225" s="184"/>
      <c r="CS225" s="184"/>
      <c r="CT225" s="184"/>
      <c r="CU225" s="184"/>
      <c r="CV225" s="184"/>
      <c r="CW225" s="184"/>
      <c r="CX225" s="184"/>
      <c r="CY225" s="184"/>
      <c r="CZ225" s="184"/>
      <c r="DA225" s="184"/>
      <c r="DB225" s="184"/>
      <c r="DC225" s="184"/>
      <c r="DD225" s="184"/>
      <c r="DE225" s="184"/>
      <c r="DF225" s="184"/>
      <c r="DG225" s="184"/>
      <c r="DH225" s="184"/>
      <c r="DI225" s="184"/>
      <c r="DJ225" s="184"/>
      <c r="DK225" s="184"/>
      <c r="DL225" s="184"/>
      <c r="DM225" s="184"/>
      <c r="DN225" s="184"/>
      <c r="DO225" s="184"/>
      <c r="DP225" s="184"/>
      <c r="DQ225" s="184"/>
      <c r="DR225" s="184"/>
      <c r="DS225" s="184"/>
      <c r="DT225" s="184"/>
      <c r="DU225" s="184"/>
      <c r="DV225" s="184"/>
      <c r="DW225" s="184"/>
      <c r="DX225" s="184"/>
      <c r="DY225" s="184"/>
      <c r="DZ225" s="184"/>
      <c r="EA225" s="224"/>
    </row>
    <row r="226" spans="1:131" x14ac:dyDescent="0.2">
      <c r="A226" s="184"/>
      <c r="B226" s="184"/>
      <c r="C226" s="184"/>
      <c r="D226" s="184"/>
      <c r="E226" s="184"/>
      <c r="F226" s="184"/>
      <c r="G226" s="184"/>
      <c r="H226" s="184"/>
      <c r="I226" s="184"/>
      <c r="J226" s="184"/>
      <c r="K226" s="184"/>
      <c r="L226" s="184"/>
      <c r="M226" s="184"/>
      <c r="N226" s="184"/>
      <c r="O226" s="184"/>
      <c r="P226" s="184"/>
      <c r="Q226" s="184"/>
      <c r="R226" s="184"/>
      <c r="S226" s="184"/>
      <c r="T226" s="184"/>
      <c r="U226" s="184"/>
      <c r="V226" s="184"/>
      <c r="W226" s="184"/>
      <c r="X226" s="184"/>
      <c r="Y226" s="184"/>
      <c r="Z226" s="184"/>
      <c r="AA226" s="184"/>
      <c r="AB226" s="184"/>
      <c r="AC226" s="184"/>
      <c r="AD226" s="184"/>
      <c r="AE226" s="184"/>
      <c r="AF226" s="184"/>
      <c r="AG226" s="184"/>
      <c r="AH226" s="184"/>
      <c r="AI226" s="184"/>
      <c r="AJ226" s="184"/>
      <c r="AK226" s="184"/>
      <c r="AL226" s="184"/>
      <c r="AM226" s="184"/>
      <c r="AN226" s="184"/>
      <c r="AO226" s="184"/>
      <c r="AP226" s="184"/>
      <c r="AQ226" s="184"/>
      <c r="AR226" s="184"/>
      <c r="AS226" s="184"/>
      <c r="AT226" s="184"/>
      <c r="AU226" s="184"/>
      <c r="AV226" s="184"/>
      <c r="AW226" s="184"/>
      <c r="AX226" s="184"/>
      <c r="AY226" s="184"/>
      <c r="AZ226" s="184"/>
      <c r="BA226" s="184"/>
      <c r="BB226" s="184"/>
      <c r="BC226" s="184"/>
      <c r="BD226" s="184"/>
      <c r="BE226" s="184"/>
      <c r="BF226" s="184"/>
      <c r="BG226" s="184"/>
      <c r="BH226" s="184"/>
      <c r="BI226" s="184"/>
      <c r="BJ226" s="184"/>
      <c r="BK226" s="184"/>
      <c r="BL226" s="184"/>
      <c r="BM226" s="184"/>
      <c r="BN226" s="184"/>
      <c r="BO226" s="184"/>
      <c r="BP226" s="184"/>
      <c r="BQ226" s="184"/>
      <c r="BR226" s="184"/>
      <c r="BS226" s="184"/>
      <c r="BT226" s="184"/>
      <c r="BU226" s="184"/>
      <c r="BV226" s="184"/>
      <c r="BW226" s="184"/>
      <c r="BX226" s="184"/>
      <c r="BY226" s="184"/>
      <c r="BZ226" s="184"/>
      <c r="CA226" s="184"/>
      <c r="CB226" s="184"/>
      <c r="CC226" s="184"/>
      <c r="CD226" s="184"/>
      <c r="CE226" s="184"/>
      <c r="CF226" s="184"/>
      <c r="CG226" s="184"/>
      <c r="CH226" s="184"/>
      <c r="CI226" s="184"/>
      <c r="CJ226" s="184"/>
      <c r="CK226" s="184"/>
      <c r="CL226" s="184"/>
      <c r="CM226" s="184"/>
      <c r="CN226" s="184"/>
      <c r="CO226" s="184"/>
      <c r="CP226" s="184"/>
      <c r="CQ226" s="184"/>
      <c r="CR226" s="184"/>
      <c r="CS226" s="184"/>
      <c r="CT226" s="184"/>
      <c r="CU226" s="184"/>
      <c r="CV226" s="184"/>
      <c r="CW226" s="184"/>
      <c r="CX226" s="184"/>
      <c r="CY226" s="184"/>
      <c r="CZ226" s="184"/>
      <c r="DA226" s="184"/>
      <c r="DB226" s="184"/>
      <c r="DC226" s="184"/>
      <c r="DD226" s="184"/>
      <c r="DE226" s="184"/>
      <c r="DF226" s="184"/>
      <c r="DG226" s="184"/>
      <c r="DH226" s="184"/>
      <c r="DI226" s="184"/>
      <c r="DJ226" s="184"/>
      <c r="DK226" s="184"/>
      <c r="DL226" s="184"/>
      <c r="DM226" s="184"/>
      <c r="DN226" s="184"/>
      <c r="DO226" s="184"/>
      <c r="DP226" s="184"/>
      <c r="DQ226" s="184"/>
      <c r="DR226" s="184"/>
      <c r="DS226" s="184"/>
      <c r="DT226" s="184"/>
      <c r="DU226" s="184"/>
      <c r="DV226" s="184"/>
      <c r="DW226" s="184"/>
      <c r="DX226" s="184"/>
      <c r="DY226" s="184"/>
      <c r="DZ226" s="184"/>
      <c r="EA226" s="224"/>
    </row>
    <row r="227" spans="1:131" x14ac:dyDescent="0.2">
      <c r="A227" s="184"/>
      <c r="B227" s="184"/>
      <c r="C227" s="184"/>
      <c r="D227" s="184"/>
      <c r="E227" s="184"/>
      <c r="F227" s="184"/>
      <c r="G227" s="184"/>
      <c r="H227" s="184"/>
      <c r="I227" s="184"/>
      <c r="J227" s="184"/>
      <c r="K227" s="184"/>
      <c r="L227" s="184"/>
      <c r="M227" s="184"/>
      <c r="N227" s="184"/>
      <c r="O227" s="184"/>
      <c r="P227" s="184"/>
      <c r="Q227" s="184"/>
      <c r="R227" s="184"/>
      <c r="S227" s="184"/>
      <c r="T227" s="184"/>
      <c r="U227" s="184"/>
      <c r="V227" s="184"/>
      <c r="W227" s="184"/>
      <c r="X227" s="184"/>
      <c r="Y227" s="184"/>
      <c r="Z227" s="184"/>
      <c r="AA227" s="184"/>
      <c r="AB227" s="184"/>
      <c r="AC227" s="184"/>
      <c r="AD227" s="184"/>
      <c r="AE227" s="184"/>
      <c r="AF227" s="184"/>
      <c r="AG227" s="184"/>
      <c r="AH227" s="184"/>
      <c r="AI227" s="184"/>
      <c r="AJ227" s="184"/>
      <c r="AK227" s="184"/>
      <c r="AL227" s="184"/>
      <c r="AM227" s="184"/>
      <c r="AN227" s="184"/>
      <c r="AO227" s="184"/>
      <c r="AP227" s="184"/>
      <c r="AQ227" s="184"/>
      <c r="AR227" s="184"/>
      <c r="AS227" s="184"/>
      <c r="AT227" s="184"/>
      <c r="AU227" s="184"/>
      <c r="AV227" s="184"/>
      <c r="AW227" s="184"/>
      <c r="AX227" s="184"/>
      <c r="AY227" s="184"/>
      <c r="AZ227" s="184"/>
      <c r="BA227" s="184"/>
      <c r="BB227" s="184"/>
      <c r="BC227" s="184"/>
      <c r="BD227" s="184"/>
      <c r="BE227" s="184"/>
      <c r="BF227" s="184"/>
      <c r="BG227" s="184"/>
      <c r="BH227" s="184"/>
      <c r="BI227" s="184"/>
      <c r="BJ227" s="184"/>
      <c r="BK227" s="184"/>
      <c r="BL227" s="184"/>
      <c r="BM227" s="184"/>
      <c r="BN227" s="184"/>
      <c r="BO227" s="184"/>
      <c r="BP227" s="184"/>
      <c r="BQ227" s="184"/>
      <c r="BR227" s="184"/>
      <c r="BS227" s="184"/>
      <c r="BT227" s="184"/>
      <c r="BU227" s="184"/>
      <c r="BV227" s="184"/>
      <c r="BW227" s="184"/>
      <c r="BX227" s="184"/>
      <c r="BY227" s="184"/>
      <c r="BZ227" s="184"/>
      <c r="CA227" s="184"/>
      <c r="CB227" s="184"/>
      <c r="CC227" s="184"/>
      <c r="CD227" s="184"/>
      <c r="CE227" s="184"/>
      <c r="CF227" s="184"/>
      <c r="CG227" s="184"/>
      <c r="CH227" s="184"/>
      <c r="CI227" s="184"/>
      <c r="CJ227" s="184"/>
      <c r="CK227" s="184"/>
      <c r="CL227" s="184"/>
      <c r="CM227" s="184"/>
      <c r="CN227" s="184"/>
      <c r="CO227" s="184"/>
      <c r="CP227" s="184"/>
      <c r="CQ227" s="184"/>
      <c r="CR227" s="184"/>
      <c r="CS227" s="184"/>
      <c r="CT227" s="184"/>
      <c r="CU227" s="184"/>
      <c r="CV227" s="184"/>
      <c r="CW227" s="184"/>
      <c r="CX227" s="184"/>
      <c r="CY227" s="184"/>
      <c r="CZ227" s="184"/>
      <c r="DA227" s="184"/>
      <c r="DB227" s="184"/>
      <c r="DC227" s="184"/>
      <c r="DD227" s="184"/>
      <c r="DE227" s="184"/>
      <c r="DF227" s="184"/>
      <c r="DG227" s="184"/>
      <c r="DH227" s="184"/>
      <c r="DI227" s="184"/>
      <c r="DJ227" s="184"/>
      <c r="DK227" s="184"/>
      <c r="DL227" s="184"/>
      <c r="DM227" s="184"/>
      <c r="DN227" s="184"/>
      <c r="DO227" s="184"/>
      <c r="DP227" s="184"/>
      <c r="DQ227" s="184"/>
      <c r="DR227" s="184"/>
      <c r="DS227" s="184"/>
      <c r="DT227" s="184"/>
      <c r="DU227" s="184"/>
      <c r="DV227" s="184"/>
      <c r="DW227" s="184"/>
      <c r="DX227" s="184"/>
      <c r="DY227" s="184"/>
      <c r="DZ227" s="184"/>
      <c r="EA227" s="224"/>
    </row>
    <row r="228" spans="1:131" x14ac:dyDescent="0.2">
      <c r="A228" s="184"/>
      <c r="B228" s="184"/>
      <c r="C228" s="184"/>
      <c r="D228" s="184"/>
      <c r="E228" s="184"/>
      <c r="F228" s="184"/>
      <c r="G228" s="184"/>
      <c r="H228" s="184"/>
      <c r="I228" s="184"/>
      <c r="J228" s="184"/>
      <c r="K228" s="184"/>
      <c r="L228" s="184"/>
      <c r="M228" s="184"/>
      <c r="N228" s="184"/>
      <c r="O228" s="184"/>
      <c r="P228" s="184"/>
      <c r="Q228" s="184"/>
      <c r="R228" s="184"/>
      <c r="S228" s="184"/>
      <c r="T228" s="184"/>
      <c r="U228" s="184"/>
      <c r="V228" s="184"/>
      <c r="W228" s="184"/>
      <c r="X228" s="184"/>
      <c r="Y228" s="184"/>
      <c r="Z228" s="184"/>
      <c r="AA228" s="184"/>
      <c r="AB228" s="184"/>
      <c r="AC228" s="184"/>
      <c r="AD228" s="184"/>
      <c r="AE228" s="184"/>
      <c r="AF228" s="184"/>
      <c r="AG228" s="184"/>
      <c r="AH228" s="184"/>
      <c r="AI228" s="184"/>
      <c r="AJ228" s="184"/>
      <c r="AK228" s="184"/>
      <c r="AL228" s="184"/>
      <c r="AM228" s="184"/>
      <c r="AN228" s="184"/>
      <c r="AO228" s="184"/>
      <c r="AP228" s="184"/>
      <c r="AQ228" s="184"/>
      <c r="AR228" s="184"/>
      <c r="AS228" s="184"/>
      <c r="AT228" s="184"/>
      <c r="AU228" s="184"/>
      <c r="AV228" s="184"/>
      <c r="AW228" s="184"/>
      <c r="AX228" s="184"/>
      <c r="AY228" s="184"/>
      <c r="AZ228" s="184"/>
      <c r="BA228" s="184"/>
      <c r="BB228" s="184"/>
      <c r="BC228" s="184"/>
      <c r="BD228" s="184"/>
      <c r="BE228" s="184"/>
      <c r="BF228" s="184"/>
      <c r="BG228" s="184"/>
      <c r="BH228" s="184"/>
      <c r="BI228" s="184"/>
      <c r="BJ228" s="184"/>
      <c r="BK228" s="184"/>
      <c r="BL228" s="184"/>
      <c r="BM228" s="184"/>
      <c r="BN228" s="184"/>
      <c r="BO228" s="184"/>
      <c r="BP228" s="184"/>
      <c r="BQ228" s="184"/>
      <c r="BR228" s="184"/>
      <c r="BS228" s="184"/>
      <c r="BT228" s="184"/>
      <c r="BU228" s="184"/>
      <c r="BV228" s="184"/>
      <c r="BW228" s="184"/>
      <c r="BX228" s="184"/>
      <c r="BY228" s="306"/>
      <c r="BZ228" s="184"/>
      <c r="CA228" s="184"/>
      <c r="CB228" s="184"/>
      <c r="CC228" s="184"/>
      <c r="CD228" s="184"/>
      <c r="CE228" s="184"/>
      <c r="CF228" s="184"/>
      <c r="CG228" s="184"/>
      <c r="CH228" s="184"/>
      <c r="CI228" s="184"/>
      <c r="CJ228" s="184"/>
      <c r="CK228" s="184"/>
      <c r="CL228" s="184"/>
      <c r="CM228" s="184"/>
      <c r="CN228" s="184"/>
      <c r="CO228" s="184"/>
      <c r="CP228" s="184"/>
      <c r="CQ228" s="184"/>
      <c r="CR228" s="184"/>
      <c r="CS228" s="184"/>
      <c r="CT228" s="184"/>
      <c r="CU228" s="184"/>
      <c r="CV228" s="184"/>
      <c r="CW228" s="184"/>
      <c r="CX228" s="184"/>
      <c r="CY228" s="184"/>
      <c r="CZ228" s="184"/>
      <c r="DA228" s="184"/>
      <c r="DB228" s="184"/>
      <c r="DC228" s="184"/>
      <c r="DD228" s="184"/>
      <c r="DE228" s="184"/>
      <c r="DF228" s="184"/>
      <c r="DG228" s="184"/>
      <c r="DH228" s="184"/>
      <c r="DI228" s="184"/>
      <c r="DJ228" s="184"/>
      <c r="DK228" s="184"/>
      <c r="DL228" s="184"/>
      <c r="DM228" s="184"/>
      <c r="DN228" s="184"/>
      <c r="DO228" s="184"/>
      <c r="DP228" s="184"/>
      <c r="DQ228" s="184"/>
      <c r="DR228" s="184"/>
      <c r="DS228" s="184"/>
      <c r="DT228" s="184"/>
      <c r="DU228" s="184"/>
      <c r="DV228" s="184"/>
      <c r="DW228" s="184"/>
      <c r="DX228" s="184"/>
      <c r="DY228" s="184"/>
      <c r="DZ228" s="184"/>
      <c r="EA228" s="224"/>
    </row>
    <row r="229" spans="1:131" x14ac:dyDescent="0.2">
      <c r="A229" s="184"/>
      <c r="B229" s="184"/>
      <c r="C229" s="184"/>
      <c r="D229" s="184"/>
      <c r="E229" s="184"/>
      <c r="F229" s="184"/>
      <c r="G229" s="184"/>
      <c r="H229" s="184"/>
      <c r="I229" s="184"/>
      <c r="J229" s="184"/>
      <c r="K229" s="184"/>
      <c r="L229" s="184"/>
      <c r="M229" s="184"/>
      <c r="N229" s="184"/>
      <c r="O229" s="184"/>
      <c r="P229" s="184"/>
      <c r="Q229" s="184"/>
      <c r="R229" s="184"/>
      <c r="S229" s="184"/>
      <c r="T229" s="184"/>
      <c r="U229" s="184"/>
      <c r="V229" s="184"/>
      <c r="W229" s="184"/>
      <c r="X229" s="184"/>
      <c r="Y229" s="184"/>
      <c r="Z229" s="184"/>
      <c r="AA229" s="184"/>
      <c r="AB229" s="184"/>
      <c r="AC229" s="184"/>
      <c r="AD229" s="184"/>
      <c r="AE229" s="184"/>
      <c r="AF229" s="184"/>
      <c r="AG229" s="184"/>
      <c r="AH229" s="184"/>
      <c r="AI229" s="184"/>
      <c r="AJ229" s="184"/>
      <c r="AK229" s="184"/>
      <c r="AL229" s="184"/>
      <c r="AM229" s="184"/>
      <c r="AN229" s="184"/>
      <c r="AO229" s="184"/>
      <c r="AP229" s="184"/>
      <c r="AQ229" s="184"/>
      <c r="AR229" s="184"/>
      <c r="AS229" s="184"/>
      <c r="AT229" s="184"/>
      <c r="AU229" s="184"/>
      <c r="AV229" s="184"/>
      <c r="AW229" s="184"/>
      <c r="AX229" s="184"/>
      <c r="AY229" s="184"/>
      <c r="AZ229" s="184"/>
      <c r="BA229" s="184"/>
      <c r="BB229" s="184"/>
      <c r="BC229" s="184"/>
      <c r="BD229" s="184"/>
      <c r="BE229" s="184"/>
      <c r="BF229" s="184"/>
      <c r="BG229" s="184"/>
      <c r="BH229" s="184"/>
      <c r="BI229" s="184"/>
      <c r="BJ229" s="184"/>
      <c r="BK229" s="184"/>
      <c r="BL229" s="184"/>
      <c r="BM229" s="184"/>
      <c r="BN229" s="184"/>
      <c r="BO229" s="184"/>
      <c r="BP229" s="184"/>
      <c r="BQ229" s="184"/>
      <c r="BR229" s="184"/>
      <c r="BS229" s="184"/>
      <c r="BT229" s="184"/>
      <c r="BU229" s="184"/>
      <c r="BV229" s="184"/>
      <c r="BW229" s="184"/>
      <c r="BX229" s="184"/>
      <c r="BY229" s="184"/>
      <c r="BZ229" s="184"/>
      <c r="CA229" s="184"/>
      <c r="CB229" s="184"/>
      <c r="CC229" s="184"/>
      <c r="CD229" s="184"/>
      <c r="CE229" s="184"/>
      <c r="CF229" s="184"/>
      <c r="CG229" s="184"/>
      <c r="CH229" s="184"/>
      <c r="CI229" s="184"/>
      <c r="CJ229" s="184"/>
      <c r="CK229" s="184"/>
      <c r="CL229" s="184"/>
      <c r="CM229" s="184"/>
      <c r="CN229" s="184"/>
      <c r="CO229" s="184"/>
      <c r="CP229" s="184"/>
      <c r="CQ229" s="184"/>
      <c r="CR229" s="184"/>
      <c r="CS229" s="184"/>
      <c r="CT229" s="184"/>
      <c r="CU229" s="184"/>
      <c r="CV229" s="184"/>
      <c r="CW229" s="184"/>
      <c r="CX229" s="184"/>
      <c r="CY229" s="184"/>
      <c r="CZ229" s="184"/>
      <c r="DA229" s="184"/>
      <c r="DB229" s="184"/>
      <c r="DC229" s="184"/>
      <c r="DD229" s="184"/>
      <c r="DE229" s="184"/>
      <c r="DF229" s="184"/>
      <c r="DG229" s="184"/>
      <c r="DH229" s="184"/>
      <c r="DI229" s="184"/>
      <c r="DJ229" s="184"/>
      <c r="DK229" s="184"/>
      <c r="DL229" s="184"/>
      <c r="DM229" s="184"/>
      <c r="DN229" s="184"/>
      <c r="DO229" s="184"/>
      <c r="DP229" s="184"/>
      <c r="DQ229" s="184"/>
      <c r="DR229" s="184"/>
      <c r="DS229" s="184"/>
      <c r="DT229" s="184"/>
      <c r="DU229" s="184"/>
      <c r="DV229" s="184"/>
      <c r="DW229" s="184"/>
      <c r="DX229" s="184"/>
      <c r="DY229" s="184"/>
      <c r="DZ229" s="184"/>
      <c r="EA229" s="224"/>
    </row>
    <row r="230" spans="1:131" x14ac:dyDescent="0.2">
      <c r="A230" s="184"/>
      <c r="B230" s="184"/>
      <c r="C230" s="184"/>
      <c r="D230" s="184"/>
      <c r="E230" s="184"/>
      <c r="F230" s="184"/>
      <c r="G230" s="184"/>
      <c r="H230" s="184"/>
      <c r="I230" s="184"/>
      <c r="J230" s="184"/>
      <c r="K230" s="184"/>
      <c r="L230" s="184"/>
      <c r="M230" s="184"/>
      <c r="N230" s="184"/>
      <c r="O230" s="184"/>
      <c r="P230" s="184"/>
      <c r="Q230" s="184"/>
      <c r="R230" s="184"/>
      <c r="S230" s="184"/>
      <c r="T230" s="184"/>
      <c r="U230" s="184"/>
      <c r="V230" s="184"/>
      <c r="W230" s="184"/>
      <c r="X230" s="184"/>
      <c r="Y230" s="184"/>
      <c r="Z230" s="184"/>
      <c r="AA230" s="184"/>
      <c r="AB230" s="184"/>
      <c r="AC230" s="184"/>
      <c r="AD230" s="184"/>
      <c r="AE230" s="184"/>
      <c r="AF230" s="184"/>
      <c r="AG230" s="184"/>
      <c r="AH230" s="184"/>
      <c r="AI230" s="184"/>
      <c r="AJ230" s="184"/>
      <c r="AK230" s="184"/>
      <c r="AL230" s="184"/>
      <c r="AM230" s="184"/>
      <c r="AN230" s="184"/>
      <c r="AO230" s="184"/>
      <c r="AP230" s="184"/>
      <c r="AQ230" s="184"/>
      <c r="AR230" s="184"/>
      <c r="AS230" s="184"/>
      <c r="AT230" s="184"/>
      <c r="AU230" s="184"/>
      <c r="AV230" s="184"/>
      <c r="AW230" s="184"/>
      <c r="AX230" s="184"/>
      <c r="AY230" s="184"/>
      <c r="AZ230" s="184"/>
      <c r="BA230" s="184"/>
      <c r="BB230" s="184"/>
      <c r="BC230" s="184"/>
      <c r="BD230" s="184"/>
      <c r="BE230" s="184"/>
      <c r="BF230" s="184"/>
      <c r="BG230" s="184"/>
      <c r="BH230" s="184"/>
      <c r="BI230" s="184"/>
      <c r="BJ230" s="184"/>
      <c r="BK230" s="184"/>
      <c r="BL230" s="184"/>
      <c r="BM230" s="184"/>
      <c r="BN230" s="184"/>
      <c r="BO230" s="184"/>
      <c r="BP230" s="184"/>
      <c r="BQ230" s="184"/>
      <c r="BR230" s="184"/>
      <c r="BS230" s="184"/>
      <c r="BT230" s="184"/>
      <c r="BU230" s="184"/>
      <c r="BV230" s="184"/>
      <c r="BW230" s="184"/>
      <c r="BX230" s="184"/>
      <c r="BY230" s="184"/>
      <c r="BZ230" s="184"/>
      <c r="CA230" s="184"/>
      <c r="CB230" s="184"/>
      <c r="CC230" s="184"/>
      <c r="CD230" s="184"/>
      <c r="CE230" s="184"/>
      <c r="CF230" s="184"/>
      <c r="CG230" s="184"/>
      <c r="CH230" s="184"/>
      <c r="CI230" s="184"/>
      <c r="CJ230" s="184"/>
      <c r="CK230" s="184"/>
      <c r="CL230" s="184"/>
      <c r="CM230" s="184"/>
      <c r="CN230" s="184"/>
      <c r="CO230" s="184"/>
      <c r="CP230" s="184"/>
      <c r="CQ230" s="184"/>
      <c r="CR230" s="184"/>
      <c r="CS230" s="184"/>
      <c r="CT230" s="184"/>
      <c r="CU230" s="184"/>
      <c r="CV230" s="184"/>
      <c r="CW230" s="184"/>
      <c r="CX230" s="184"/>
      <c r="CY230" s="184"/>
      <c r="CZ230" s="184"/>
      <c r="DA230" s="184"/>
      <c r="DB230" s="184"/>
      <c r="DC230" s="184"/>
      <c r="DD230" s="184"/>
      <c r="DE230" s="184"/>
      <c r="DF230" s="184"/>
      <c r="DG230" s="184"/>
      <c r="DH230" s="184"/>
      <c r="DI230" s="184"/>
      <c r="DJ230" s="184"/>
      <c r="DK230" s="184"/>
      <c r="DL230" s="184"/>
      <c r="DM230" s="184"/>
      <c r="DN230" s="184"/>
      <c r="DO230" s="184"/>
      <c r="DP230" s="184"/>
      <c r="DQ230" s="184"/>
      <c r="DR230" s="184"/>
      <c r="DS230" s="184"/>
      <c r="DT230" s="184"/>
      <c r="DU230" s="184"/>
      <c r="DV230" s="184"/>
      <c r="DW230" s="184"/>
      <c r="DX230" s="184"/>
      <c r="DY230" s="184"/>
      <c r="DZ230" s="184"/>
      <c r="EA230" s="224"/>
    </row>
    <row r="231" spans="1:131" x14ac:dyDescent="0.2">
      <c r="A231" s="184"/>
      <c r="B231" s="184"/>
      <c r="C231" s="184"/>
      <c r="D231" s="184"/>
      <c r="E231" s="184"/>
      <c r="F231" s="184"/>
      <c r="G231" s="184"/>
      <c r="H231" s="184"/>
      <c r="I231" s="184"/>
      <c r="J231" s="184"/>
      <c r="K231" s="184"/>
      <c r="L231" s="184"/>
      <c r="M231" s="184"/>
      <c r="N231" s="184"/>
      <c r="O231" s="184"/>
      <c r="P231" s="184"/>
      <c r="Q231" s="184"/>
      <c r="R231" s="184"/>
      <c r="S231" s="184"/>
      <c r="T231" s="184"/>
      <c r="U231" s="184"/>
      <c r="V231" s="184"/>
      <c r="W231" s="184"/>
      <c r="X231" s="184"/>
      <c r="Y231" s="184"/>
      <c r="Z231" s="184"/>
      <c r="AA231" s="184"/>
      <c r="AB231" s="184"/>
      <c r="AC231" s="184"/>
      <c r="AD231" s="184"/>
      <c r="AE231" s="184"/>
      <c r="AF231" s="184"/>
      <c r="AG231" s="184"/>
      <c r="AH231" s="184"/>
      <c r="AI231" s="184"/>
      <c r="AJ231" s="184"/>
      <c r="AK231" s="184"/>
      <c r="AL231" s="184"/>
      <c r="AM231" s="184"/>
      <c r="AN231" s="184"/>
      <c r="AO231" s="184"/>
      <c r="AP231" s="184"/>
      <c r="AQ231" s="184"/>
      <c r="AR231" s="184"/>
      <c r="AS231" s="184"/>
      <c r="AT231" s="184"/>
      <c r="AU231" s="184"/>
      <c r="AV231" s="184"/>
      <c r="AW231" s="184"/>
      <c r="AX231" s="184"/>
      <c r="AY231" s="184"/>
      <c r="AZ231" s="184"/>
      <c r="BA231" s="184"/>
      <c r="BB231" s="184"/>
      <c r="BC231" s="184"/>
      <c r="BD231" s="184"/>
      <c r="BE231" s="184"/>
      <c r="BF231" s="184"/>
      <c r="BG231" s="184"/>
      <c r="BH231" s="184"/>
      <c r="BI231" s="184"/>
      <c r="BJ231" s="184"/>
      <c r="BK231" s="184"/>
      <c r="BL231" s="184"/>
      <c r="BM231" s="184"/>
      <c r="BN231" s="184"/>
      <c r="BO231" s="184"/>
      <c r="BP231" s="184"/>
      <c r="BQ231" s="184"/>
      <c r="BR231" s="184"/>
      <c r="BS231" s="184"/>
      <c r="BT231" s="184"/>
      <c r="BU231" s="184"/>
      <c r="BV231" s="184"/>
      <c r="BW231" s="184"/>
      <c r="BX231" s="184"/>
      <c r="BY231" s="184"/>
      <c r="BZ231" s="184"/>
      <c r="CA231" s="184"/>
      <c r="CB231" s="184"/>
      <c r="CC231" s="184"/>
      <c r="CD231" s="184"/>
      <c r="CE231" s="184"/>
      <c r="CF231" s="184"/>
      <c r="CG231" s="184"/>
      <c r="CH231" s="184"/>
      <c r="CI231" s="184"/>
      <c r="CJ231" s="184"/>
      <c r="CK231" s="184"/>
      <c r="CL231" s="184"/>
      <c r="CM231" s="184"/>
      <c r="CN231" s="184"/>
      <c r="CO231" s="184"/>
      <c r="CP231" s="184"/>
      <c r="CQ231" s="184"/>
      <c r="CR231" s="184"/>
      <c r="CS231" s="184"/>
      <c r="CT231" s="184"/>
      <c r="CU231" s="184"/>
      <c r="CV231" s="184"/>
      <c r="CW231" s="184"/>
      <c r="CX231" s="184"/>
      <c r="CY231" s="184"/>
      <c r="CZ231" s="184"/>
      <c r="DA231" s="184"/>
      <c r="DB231" s="184"/>
      <c r="DC231" s="184"/>
      <c r="DD231" s="184"/>
      <c r="DE231" s="184"/>
      <c r="DF231" s="184"/>
      <c r="DG231" s="184"/>
      <c r="DH231" s="184"/>
      <c r="DI231" s="184"/>
      <c r="DJ231" s="184"/>
      <c r="DK231" s="184"/>
      <c r="DL231" s="184"/>
      <c r="DM231" s="184"/>
      <c r="DN231" s="184"/>
      <c r="DO231" s="184"/>
      <c r="DP231" s="184"/>
      <c r="DQ231" s="184"/>
      <c r="DR231" s="184"/>
      <c r="DS231" s="184"/>
      <c r="DT231" s="184"/>
      <c r="DU231" s="184"/>
      <c r="DV231" s="184"/>
      <c r="DW231" s="184"/>
      <c r="DX231" s="184"/>
      <c r="DY231" s="184"/>
      <c r="DZ231" s="184"/>
      <c r="EA231" s="224"/>
    </row>
    <row r="232" spans="1:131" x14ac:dyDescent="0.2">
      <c r="A232" s="184"/>
      <c r="B232" s="184"/>
      <c r="C232" s="184"/>
      <c r="D232" s="184"/>
      <c r="E232" s="184"/>
      <c r="F232" s="184"/>
      <c r="G232" s="184"/>
      <c r="H232" s="184"/>
      <c r="I232" s="184"/>
      <c r="J232" s="184"/>
      <c r="K232" s="184"/>
      <c r="L232" s="184"/>
      <c r="M232" s="184"/>
      <c r="N232" s="184"/>
      <c r="O232" s="184"/>
      <c r="P232" s="184"/>
      <c r="Q232" s="184"/>
      <c r="R232" s="184"/>
      <c r="S232" s="184"/>
      <c r="T232" s="184"/>
      <c r="U232" s="184"/>
      <c r="V232" s="184"/>
      <c r="W232" s="184"/>
      <c r="X232" s="184"/>
      <c r="Y232" s="184"/>
      <c r="Z232" s="184"/>
      <c r="AA232" s="184"/>
      <c r="AB232" s="184"/>
      <c r="AC232" s="184"/>
      <c r="AD232" s="184"/>
      <c r="AE232" s="184"/>
      <c r="AF232" s="184"/>
      <c r="AG232" s="184"/>
      <c r="AH232" s="184"/>
      <c r="AI232" s="184"/>
      <c r="AJ232" s="184"/>
      <c r="AK232" s="184"/>
      <c r="AL232" s="184"/>
      <c r="AM232" s="184"/>
      <c r="AN232" s="184"/>
      <c r="AO232" s="184"/>
      <c r="AP232" s="184"/>
      <c r="AQ232" s="184"/>
      <c r="AR232" s="184"/>
      <c r="AS232" s="184"/>
      <c r="AT232" s="184"/>
      <c r="AU232" s="184"/>
      <c r="AV232" s="184"/>
      <c r="AW232" s="184"/>
      <c r="AX232" s="184"/>
      <c r="AY232" s="184"/>
      <c r="AZ232" s="184"/>
      <c r="BA232" s="184"/>
      <c r="BB232" s="184"/>
      <c r="BC232" s="184"/>
      <c r="BD232" s="184"/>
      <c r="BE232" s="184"/>
      <c r="BF232" s="184"/>
      <c r="BG232" s="184"/>
      <c r="BH232" s="184"/>
      <c r="BI232" s="184"/>
      <c r="BJ232" s="184"/>
      <c r="BK232" s="184"/>
      <c r="BL232" s="184"/>
      <c r="BM232" s="184"/>
      <c r="BN232" s="184"/>
      <c r="BO232" s="184"/>
      <c r="BP232" s="184"/>
      <c r="BQ232" s="184"/>
      <c r="BR232" s="184"/>
      <c r="BS232" s="184"/>
      <c r="BT232" s="184"/>
      <c r="BU232" s="184"/>
      <c r="BV232" s="184"/>
      <c r="BW232" s="305"/>
      <c r="BX232" s="305"/>
      <c r="BZ232" s="184"/>
      <c r="CA232" s="184"/>
      <c r="CB232" s="184"/>
      <c r="CC232" s="184"/>
      <c r="CD232" s="184"/>
      <c r="CE232" s="184"/>
      <c r="CF232" s="184"/>
      <c r="CG232" s="184"/>
      <c r="CH232" s="184"/>
      <c r="CI232" s="184"/>
      <c r="CJ232" s="184"/>
      <c r="CK232" s="184"/>
      <c r="CL232" s="184"/>
      <c r="CM232" s="184"/>
      <c r="CN232" s="184"/>
      <c r="CO232" s="184"/>
      <c r="CP232" s="184"/>
      <c r="CQ232" s="184"/>
      <c r="CR232" s="184"/>
      <c r="CS232" s="184"/>
      <c r="CT232" s="184"/>
      <c r="CU232" s="184"/>
      <c r="CV232" s="184"/>
      <c r="CW232" s="184"/>
      <c r="CX232" s="184"/>
      <c r="CY232" s="184"/>
      <c r="CZ232" s="184"/>
      <c r="DA232" s="184"/>
      <c r="DB232" s="184"/>
      <c r="DC232" s="184"/>
      <c r="DD232" s="184"/>
      <c r="DE232" s="184"/>
      <c r="DF232" s="184"/>
      <c r="DG232" s="184"/>
      <c r="DH232" s="184"/>
      <c r="DI232" s="184"/>
      <c r="DJ232" s="184"/>
      <c r="DK232" s="184"/>
      <c r="DL232" s="184"/>
      <c r="DM232" s="184"/>
      <c r="DN232" s="184"/>
      <c r="DO232" s="184"/>
      <c r="DP232" s="184"/>
      <c r="DQ232" s="184"/>
      <c r="DR232" s="184"/>
      <c r="DS232" s="184"/>
      <c r="DT232" s="184"/>
      <c r="DU232" s="184"/>
      <c r="DV232" s="184"/>
      <c r="DW232" s="184"/>
      <c r="DX232" s="184"/>
      <c r="DY232" s="184"/>
      <c r="DZ232" s="184"/>
      <c r="EA232" s="224"/>
    </row>
    <row r="233" spans="1:131" x14ac:dyDescent="0.2">
      <c r="A233" s="184"/>
      <c r="B233" s="184"/>
      <c r="C233" s="184"/>
      <c r="D233" s="184"/>
      <c r="E233" s="184"/>
      <c r="F233" s="184"/>
      <c r="G233" s="184"/>
      <c r="H233" s="184"/>
      <c r="I233" s="184"/>
      <c r="J233" s="184"/>
      <c r="K233" s="184"/>
      <c r="L233" s="184"/>
      <c r="M233" s="184"/>
      <c r="N233" s="184"/>
      <c r="O233" s="184"/>
      <c r="P233" s="184"/>
      <c r="Q233" s="184"/>
      <c r="R233" s="184"/>
      <c r="S233" s="184"/>
      <c r="T233" s="184"/>
      <c r="U233" s="184"/>
      <c r="V233" s="184"/>
      <c r="W233" s="184"/>
      <c r="X233" s="184"/>
      <c r="Y233" s="184"/>
      <c r="Z233" s="184"/>
      <c r="AA233" s="184"/>
      <c r="AB233" s="184"/>
      <c r="AC233" s="184"/>
      <c r="AD233" s="184"/>
      <c r="AE233" s="184"/>
      <c r="AF233" s="184"/>
      <c r="AG233" s="184"/>
      <c r="AH233" s="184"/>
      <c r="AI233" s="184"/>
      <c r="AJ233" s="184"/>
      <c r="AK233" s="184"/>
      <c r="AL233" s="184"/>
      <c r="AM233" s="184"/>
      <c r="AN233" s="184"/>
      <c r="AO233" s="184"/>
      <c r="AP233" s="184"/>
      <c r="AQ233" s="184"/>
      <c r="AR233" s="184"/>
      <c r="AS233" s="184"/>
      <c r="AT233" s="184"/>
      <c r="AU233" s="184"/>
      <c r="AV233" s="184"/>
      <c r="AW233" s="184"/>
      <c r="AX233" s="184"/>
      <c r="AY233" s="184"/>
      <c r="AZ233" s="184"/>
      <c r="BA233" s="184"/>
      <c r="BB233" s="184"/>
      <c r="BC233" s="184"/>
      <c r="BD233" s="184"/>
      <c r="BE233" s="184"/>
      <c r="BF233" s="184"/>
      <c r="BG233" s="184"/>
      <c r="BH233" s="184"/>
      <c r="BI233" s="184"/>
      <c r="BJ233" s="184"/>
      <c r="BK233" s="184"/>
      <c r="BL233" s="184"/>
      <c r="BM233" s="184"/>
      <c r="BN233" s="184"/>
      <c r="BO233" s="184"/>
      <c r="BP233" s="184"/>
      <c r="BQ233" s="184"/>
      <c r="BR233" s="184"/>
      <c r="BS233" s="184"/>
      <c r="BT233" s="184"/>
      <c r="BU233" s="184"/>
      <c r="BV233" s="184"/>
      <c r="BW233" s="184"/>
      <c r="BX233" s="184"/>
      <c r="BY233" s="184"/>
      <c r="BZ233" s="184"/>
      <c r="CA233" s="184"/>
      <c r="CB233" s="184"/>
      <c r="CC233" s="184"/>
      <c r="CD233" s="184"/>
      <c r="CE233" s="184"/>
      <c r="CF233" s="184"/>
      <c r="CG233" s="184"/>
      <c r="CH233" s="184"/>
      <c r="CI233" s="184"/>
      <c r="CJ233" s="184"/>
      <c r="CK233" s="184"/>
      <c r="CL233" s="184"/>
      <c r="CM233" s="184"/>
      <c r="CN233" s="184"/>
      <c r="CO233" s="184"/>
      <c r="CP233" s="184"/>
      <c r="CQ233" s="184"/>
      <c r="CR233" s="184"/>
      <c r="CS233" s="184"/>
      <c r="CT233" s="184"/>
      <c r="CU233" s="184"/>
      <c r="CV233" s="184"/>
      <c r="CW233" s="184"/>
      <c r="CX233" s="184"/>
      <c r="CY233" s="184"/>
      <c r="CZ233" s="184"/>
      <c r="DA233" s="184"/>
      <c r="DB233" s="184"/>
      <c r="DC233" s="184"/>
      <c r="DD233" s="184"/>
      <c r="DE233" s="184"/>
      <c r="DF233" s="184"/>
      <c r="DG233" s="184"/>
      <c r="DH233" s="184"/>
      <c r="DI233" s="184"/>
      <c r="DJ233" s="184"/>
      <c r="DK233" s="184"/>
      <c r="DL233" s="184"/>
      <c r="DM233" s="184"/>
      <c r="DN233" s="184"/>
      <c r="DO233" s="184"/>
      <c r="DP233" s="184"/>
      <c r="DQ233" s="184"/>
      <c r="DR233" s="184"/>
      <c r="DS233" s="184"/>
      <c r="DT233" s="184"/>
      <c r="DU233" s="184"/>
      <c r="DV233" s="184"/>
      <c r="DW233" s="184"/>
      <c r="DX233" s="184"/>
      <c r="DY233" s="184"/>
      <c r="DZ233" s="184"/>
      <c r="EA233" s="224"/>
    </row>
    <row r="234" spans="1:131" x14ac:dyDescent="0.2">
      <c r="A234" s="184"/>
      <c r="B234" s="184"/>
      <c r="C234" s="184"/>
      <c r="D234" s="184"/>
      <c r="E234" s="184"/>
      <c r="F234" s="184"/>
      <c r="G234" s="184"/>
      <c r="H234" s="184"/>
      <c r="I234" s="184"/>
      <c r="J234" s="184"/>
      <c r="K234" s="184"/>
      <c r="L234" s="184"/>
      <c r="M234" s="184"/>
      <c r="N234" s="184"/>
      <c r="O234" s="184"/>
      <c r="P234" s="184"/>
      <c r="Q234" s="184"/>
      <c r="R234" s="184"/>
      <c r="S234" s="184"/>
      <c r="T234" s="184"/>
      <c r="U234" s="184"/>
      <c r="V234" s="184"/>
      <c r="W234" s="184"/>
      <c r="X234" s="184"/>
      <c r="Y234" s="184"/>
      <c r="Z234" s="184"/>
      <c r="AA234" s="184"/>
      <c r="AB234" s="184"/>
      <c r="AC234" s="184"/>
      <c r="AD234" s="184"/>
      <c r="AE234" s="184"/>
      <c r="AF234" s="184"/>
      <c r="AG234" s="184"/>
      <c r="AH234" s="184"/>
      <c r="AI234" s="184"/>
      <c r="AJ234" s="184"/>
      <c r="AK234" s="184"/>
      <c r="AL234" s="184"/>
      <c r="AM234" s="184"/>
      <c r="AN234" s="184"/>
      <c r="AO234" s="184"/>
      <c r="AP234" s="184"/>
      <c r="AQ234" s="184"/>
      <c r="AR234" s="184"/>
      <c r="AS234" s="184"/>
      <c r="AT234" s="184"/>
      <c r="AU234" s="184"/>
      <c r="AV234" s="184"/>
      <c r="AW234" s="184"/>
      <c r="AX234" s="184"/>
      <c r="AY234" s="184"/>
      <c r="AZ234" s="184"/>
      <c r="BA234" s="184"/>
      <c r="BB234" s="184"/>
      <c r="BC234" s="184"/>
      <c r="BD234" s="184"/>
      <c r="BE234" s="184"/>
      <c r="BF234" s="184"/>
      <c r="BG234" s="184"/>
      <c r="BH234" s="184"/>
      <c r="BI234" s="184"/>
      <c r="BJ234" s="184"/>
      <c r="BK234" s="184"/>
      <c r="BL234" s="184"/>
      <c r="BM234" s="184"/>
      <c r="BN234" s="184"/>
      <c r="BO234" s="184"/>
      <c r="BP234" s="184"/>
      <c r="BQ234" s="184"/>
      <c r="BR234" s="184"/>
      <c r="BS234" s="184"/>
      <c r="BT234" s="184"/>
      <c r="BU234" s="184"/>
      <c r="BV234" s="184"/>
      <c r="BW234" s="184"/>
      <c r="BX234" s="184"/>
      <c r="BY234" s="184"/>
      <c r="BZ234" s="184"/>
      <c r="CA234" s="184"/>
      <c r="CB234" s="184"/>
      <c r="CC234" s="184"/>
      <c r="CD234" s="184"/>
      <c r="CE234" s="184"/>
      <c r="CF234" s="184"/>
      <c r="CG234" s="184"/>
      <c r="CH234" s="184"/>
      <c r="CI234" s="184"/>
      <c r="CJ234" s="184"/>
      <c r="CK234" s="184"/>
      <c r="CL234" s="184"/>
      <c r="CM234" s="184"/>
      <c r="CN234" s="184"/>
      <c r="CO234" s="184"/>
      <c r="CP234" s="184"/>
      <c r="CQ234" s="184"/>
      <c r="CR234" s="184"/>
      <c r="CS234" s="184"/>
      <c r="CT234" s="184"/>
      <c r="CU234" s="184"/>
      <c r="CV234" s="184"/>
      <c r="CW234" s="184"/>
      <c r="CX234" s="184"/>
      <c r="CY234" s="184"/>
      <c r="CZ234" s="184"/>
      <c r="DA234" s="184"/>
      <c r="DB234" s="184"/>
      <c r="DC234" s="184"/>
      <c r="DD234" s="184"/>
      <c r="DE234" s="184"/>
      <c r="DF234" s="184"/>
      <c r="DG234" s="184"/>
      <c r="DH234" s="184"/>
      <c r="DI234" s="184"/>
      <c r="DJ234" s="184"/>
      <c r="DK234" s="184"/>
      <c r="DL234" s="184"/>
      <c r="DM234" s="184"/>
      <c r="DN234" s="184"/>
      <c r="DO234" s="184"/>
      <c r="DP234" s="184"/>
      <c r="DQ234" s="184"/>
      <c r="DR234" s="184"/>
      <c r="DS234" s="184"/>
      <c r="DT234" s="184"/>
      <c r="DU234" s="184"/>
      <c r="DV234" s="184"/>
      <c r="DW234" s="184"/>
      <c r="DX234" s="184"/>
      <c r="DY234" s="184"/>
      <c r="DZ234" s="184"/>
      <c r="EA234" s="224"/>
    </row>
    <row r="235" spans="1:131" x14ac:dyDescent="0.2">
      <c r="A235" s="184"/>
      <c r="B235" s="184"/>
      <c r="C235" s="184"/>
      <c r="D235" s="184"/>
      <c r="E235" s="184"/>
      <c r="F235" s="184"/>
      <c r="G235" s="184"/>
      <c r="H235" s="184"/>
      <c r="I235" s="184"/>
      <c r="J235" s="184"/>
      <c r="K235" s="184"/>
      <c r="L235" s="184"/>
      <c r="M235" s="184"/>
      <c r="N235" s="184"/>
      <c r="O235" s="184"/>
      <c r="P235" s="184"/>
      <c r="Q235" s="184"/>
      <c r="R235" s="184"/>
      <c r="S235" s="184"/>
      <c r="T235" s="184"/>
      <c r="U235" s="184"/>
      <c r="V235" s="184"/>
      <c r="W235" s="184"/>
      <c r="X235" s="184"/>
      <c r="Y235" s="184"/>
      <c r="Z235" s="184"/>
      <c r="AA235" s="184"/>
      <c r="AB235" s="184"/>
      <c r="AC235" s="184"/>
      <c r="AD235" s="184"/>
      <c r="AE235" s="184"/>
      <c r="AF235" s="184"/>
      <c r="AG235" s="184"/>
      <c r="AH235" s="184"/>
      <c r="AI235" s="184"/>
      <c r="AJ235" s="184"/>
      <c r="AK235" s="184"/>
      <c r="AL235" s="184"/>
      <c r="AM235" s="184"/>
      <c r="AN235" s="184"/>
      <c r="AO235" s="184"/>
      <c r="AP235" s="184"/>
      <c r="AQ235" s="184"/>
      <c r="AR235" s="184"/>
      <c r="AS235" s="184"/>
      <c r="AT235" s="184"/>
      <c r="AU235" s="184"/>
      <c r="AV235" s="184"/>
      <c r="AW235" s="184"/>
      <c r="AX235" s="184"/>
      <c r="AY235" s="184"/>
      <c r="AZ235" s="184"/>
      <c r="BA235" s="184"/>
      <c r="BB235" s="184"/>
      <c r="BC235" s="184"/>
      <c r="BD235" s="184"/>
      <c r="BE235" s="184"/>
      <c r="BF235" s="184"/>
      <c r="BG235" s="184"/>
      <c r="BH235" s="184"/>
      <c r="BI235" s="184"/>
      <c r="BJ235" s="184"/>
      <c r="BK235" s="184"/>
      <c r="BL235" s="184"/>
      <c r="BM235" s="184"/>
      <c r="BN235" s="184"/>
      <c r="BO235" s="184"/>
      <c r="BP235" s="184"/>
      <c r="BQ235" s="184"/>
      <c r="BR235" s="184"/>
      <c r="BS235" s="184"/>
      <c r="BT235" s="184"/>
      <c r="BU235" s="184"/>
      <c r="BV235" s="184"/>
      <c r="BW235" s="184"/>
      <c r="BX235" s="184"/>
      <c r="BY235" s="184"/>
      <c r="BZ235" s="184"/>
      <c r="CA235" s="184"/>
      <c r="CB235" s="184"/>
      <c r="CC235" s="184"/>
      <c r="CD235" s="184"/>
      <c r="CE235" s="184"/>
      <c r="CF235" s="184"/>
      <c r="CG235" s="184"/>
      <c r="CH235" s="184"/>
      <c r="CI235" s="184"/>
      <c r="CJ235" s="184"/>
      <c r="CK235" s="184"/>
      <c r="CL235" s="184"/>
      <c r="CM235" s="184"/>
      <c r="CN235" s="184"/>
      <c r="CO235" s="184"/>
      <c r="CP235" s="184"/>
      <c r="CQ235" s="184"/>
      <c r="CR235" s="184"/>
      <c r="CS235" s="184"/>
      <c r="CT235" s="184"/>
      <c r="CU235" s="184"/>
      <c r="CV235" s="184"/>
      <c r="CW235" s="184"/>
      <c r="CX235" s="184"/>
      <c r="CY235" s="184"/>
      <c r="CZ235" s="184"/>
      <c r="DA235" s="184"/>
      <c r="DB235" s="184"/>
      <c r="DC235" s="184"/>
      <c r="DD235" s="184"/>
      <c r="DE235" s="184"/>
      <c r="DF235" s="184"/>
      <c r="DG235" s="184"/>
      <c r="DH235" s="184"/>
      <c r="DI235" s="184"/>
      <c r="DJ235" s="184"/>
      <c r="DK235" s="184"/>
      <c r="DL235" s="184"/>
      <c r="DM235" s="184"/>
      <c r="DN235" s="184"/>
      <c r="DO235" s="184"/>
      <c r="DP235" s="184"/>
      <c r="DQ235" s="184"/>
      <c r="DR235" s="184"/>
      <c r="DS235" s="184"/>
      <c r="DT235" s="184"/>
      <c r="DU235" s="184"/>
      <c r="DV235" s="184"/>
      <c r="DW235" s="184"/>
      <c r="DX235" s="184"/>
      <c r="DY235" s="184"/>
      <c r="DZ235" s="184"/>
      <c r="EA235" s="224"/>
    </row>
    <row r="236" spans="1:131" x14ac:dyDescent="0.2">
      <c r="A236" s="184"/>
      <c r="B236" s="184"/>
      <c r="C236" s="184"/>
      <c r="D236" s="184"/>
      <c r="E236" s="184"/>
      <c r="F236" s="184"/>
      <c r="G236" s="184"/>
      <c r="H236" s="184"/>
      <c r="I236" s="184"/>
      <c r="J236" s="184"/>
      <c r="K236" s="184"/>
      <c r="L236" s="184"/>
      <c r="M236" s="184"/>
      <c r="N236" s="184"/>
      <c r="O236" s="184"/>
      <c r="P236" s="184"/>
      <c r="Q236" s="184"/>
      <c r="R236" s="184"/>
      <c r="S236" s="184"/>
      <c r="T236" s="184"/>
      <c r="U236" s="184"/>
      <c r="V236" s="184"/>
      <c r="W236" s="184"/>
      <c r="X236" s="184"/>
      <c r="Y236" s="184"/>
      <c r="Z236" s="184"/>
      <c r="AA236" s="184"/>
      <c r="AB236" s="184"/>
      <c r="AC236" s="184"/>
      <c r="AD236" s="184"/>
      <c r="AE236" s="184"/>
      <c r="AF236" s="184"/>
      <c r="AG236" s="184"/>
      <c r="AH236" s="184"/>
      <c r="AI236" s="184"/>
      <c r="AJ236" s="184"/>
      <c r="AK236" s="184"/>
      <c r="AL236" s="184"/>
      <c r="AM236" s="184"/>
      <c r="AN236" s="184"/>
      <c r="AO236" s="184"/>
      <c r="AP236" s="184"/>
      <c r="AQ236" s="184"/>
      <c r="AR236" s="184"/>
      <c r="AS236" s="184"/>
      <c r="AT236" s="184"/>
      <c r="AU236" s="184"/>
      <c r="AV236" s="184"/>
      <c r="AW236" s="184"/>
      <c r="AX236" s="184"/>
      <c r="AY236" s="184"/>
      <c r="AZ236" s="184"/>
      <c r="BA236" s="184"/>
      <c r="BB236" s="184"/>
      <c r="BC236" s="184"/>
      <c r="BD236" s="184"/>
      <c r="BE236" s="184"/>
      <c r="BF236" s="184"/>
      <c r="BG236" s="184"/>
      <c r="BH236" s="184"/>
      <c r="BI236" s="184"/>
      <c r="BJ236" s="184"/>
      <c r="BK236" s="184"/>
      <c r="BL236" s="184"/>
      <c r="BM236" s="184"/>
      <c r="BN236" s="184"/>
      <c r="BO236" s="184"/>
      <c r="BP236" s="184"/>
      <c r="BQ236" s="184"/>
      <c r="BR236" s="184"/>
      <c r="BS236" s="184"/>
      <c r="BT236" s="184"/>
      <c r="BU236" s="184"/>
      <c r="BV236" s="184"/>
      <c r="BW236" s="184"/>
      <c r="BX236" s="184"/>
      <c r="BY236" s="184"/>
      <c r="BZ236" s="184"/>
      <c r="CA236" s="184"/>
      <c r="CB236" s="184"/>
      <c r="CC236" s="184"/>
      <c r="CD236" s="184"/>
      <c r="CE236" s="184"/>
      <c r="CF236" s="184"/>
      <c r="CG236" s="184"/>
      <c r="CH236" s="184"/>
      <c r="CI236" s="184"/>
      <c r="CJ236" s="184"/>
      <c r="CK236" s="184"/>
      <c r="CL236" s="184"/>
      <c r="CM236" s="184"/>
      <c r="CN236" s="184"/>
      <c r="CO236" s="184"/>
      <c r="CP236" s="184"/>
      <c r="CQ236" s="184"/>
      <c r="CR236" s="184"/>
      <c r="CS236" s="184"/>
      <c r="CT236" s="184"/>
      <c r="CU236" s="184"/>
      <c r="CV236" s="184"/>
      <c r="CW236" s="184"/>
      <c r="CX236" s="184"/>
      <c r="CY236" s="184"/>
      <c r="CZ236" s="184"/>
      <c r="DA236" s="184"/>
      <c r="DB236" s="184"/>
      <c r="DC236" s="184"/>
      <c r="DD236" s="184"/>
      <c r="DE236" s="184"/>
      <c r="DF236" s="184"/>
      <c r="DG236" s="184"/>
      <c r="DH236" s="184"/>
      <c r="DI236" s="184"/>
      <c r="DJ236" s="184"/>
      <c r="DK236" s="184"/>
      <c r="DL236" s="184"/>
      <c r="DM236" s="184"/>
      <c r="DN236" s="184"/>
      <c r="DO236" s="184"/>
      <c r="DP236" s="184"/>
      <c r="DQ236" s="184"/>
      <c r="DR236" s="184"/>
      <c r="DS236" s="184"/>
      <c r="DT236" s="184"/>
      <c r="DU236" s="184"/>
      <c r="DV236" s="184"/>
      <c r="DW236" s="184"/>
      <c r="DX236" s="184"/>
      <c r="DY236" s="184"/>
      <c r="DZ236" s="184"/>
      <c r="EA236" s="224"/>
    </row>
    <row r="237" spans="1:131" x14ac:dyDescent="0.2">
      <c r="A237" s="184"/>
      <c r="B237" s="184"/>
      <c r="C237" s="184"/>
      <c r="D237" s="184"/>
      <c r="E237" s="184"/>
      <c r="F237" s="184"/>
      <c r="G237" s="184"/>
      <c r="H237" s="184"/>
      <c r="I237" s="184"/>
      <c r="J237" s="184"/>
      <c r="K237" s="184"/>
      <c r="L237" s="184"/>
      <c r="M237" s="184"/>
      <c r="N237" s="184"/>
      <c r="O237" s="184"/>
      <c r="P237" s="184"/>
      <c r="Q237" s="184"/>
      <c r="R237" s="184"/>
      <c r="S237" s="184"/>
      <c r="T237" s="184"/>
      <c r="U237" s="184"/>
      <c r="V237" s="184"/>
      <c r="W237" s="184"/>
      <c r="X237" s="184"/>
      <c r="Y237" s="184"/>
      <c r="Z237" s="184"/>
      <c r="AA237" s="184"/>
      <c r="AB237" s="184"/>
      <c r="AC237" s="184"/>
      <c r="AD237" s="184"/>
      <c r="AE237" s="184"/>
      <c r="AF237" s="184"/>
      <c r="AG237" s="184"/>
      <c r="AH237" s="184"/>
      <c r="AI237" s="184"/>
      <c r="AJ237" s="184"/>
      <c r="AK237" s="184"/>
      <c r="AL237" s="184"/>
      <c r="AM237" s="184"/>
      <c r="AN237" s="184"/>
      <c r="AO237" s="184"/>
      <c r="AP237" s="184"/>
      <c r="AQ237" s="184"/>
      <c r="AR237" s="184"/>
      <c r="AS237" s="184"/>
      <c r="AT237" s="184"/>
      <c r="AU237" s="184"/>
      <c r="AV237" s="184"/>
      <c r="AW237" s="184"/>
      <c r="AX237" s="184"/>
      <c r="AY237" s="184"/>
      <c r="AZ237" s="184"/>
      <c r="BA237" s="184"/>
      <c r="BB237" s="184"/>
      <c r="BC237" s="184"/>
      <c r="BD237" s="184"/>
      <c r="BE237" s="184"/>
      <c r="BF237" s="184"/>
      <c r="BG237" s="184"/>
      <c r="BH237" s="184"/>
      <c r="BI237" s="184"/>
      <c r="BJ237" s="184"/>
      <c r="BK237" s="184"/>
      <c r="BL237" s="184"/>
      <c r="BM237" s="184"/>
      <c r="BN237" s="184"/>
      <c r="BO237" s="184"/>
      <c r="BP237" s="184"/>
      <c r="BQ237" s="184"/>
      <c r="BR237" s="184"/>
      <c r="BS237" s="184"/>
      <c r="BT237" s="184"/>
      <c r="BU237" s="184"/>
      <c r="BV237" s="184"/>
      <c r="BW237" s="184"/>
      <c r="BX237" s="184"/>
      <c r="BY237" s="184"/>
      <c r="BZ237" s="184"/>
      <c r="CA237" s="184"/>
      <c r="CB237" s="184"/>
      <c r="CC237" s="184"/>
      <c r="CD237" s="184"/>
      <c r="CE237" s="184"/>
      <c r="CF237" s="184"/>
      <c r="CG237" s="184"/>
      <c r="CH237" s="184"/>
      <c r="CI237" s="184"/>
      <c r="CJ237" s="184"/>
      <c r="CK237" s="184"/>
      <c r="CL237" s="184"/>
      <c r="CM237" s="184"/>
      <c r="CN237" s="184"/>
      <c r="CO237" s="184"/>
      <c r="CP237" s="184"/>
      <c r="CQ237" s="184"/>
      <c r="CR237" s="184"/>
      <c r="CS237" s="184"/>
      <c r="CT237" s="184"/>
      <c r="CU237" s="184"/>
      <c r="CV237" s="184"/>
      <c r="CW237" s="184"/>
      <c r="CX237" s="184"/>
      <c r="CY237" s="184"/>
      <c r="CZ237" s="184"/>
      <c r="DA237" s="184"/>
      <c r="DB237" s="184"/>
      <c r="DC237" s="184"/>
      <c r="DD237" s="184"/>
      <c r="DE237" s="184"/>
      <c r="DF237" s="184"/>
      <c r="DG237" s="184"/>
      <c r="DH237" s="184"/>
      <c r="DI237" s="184"/>
      <c r="DJ237" s="184"/>
      <c r="DK237" s="184"/>
      <c r="DL237" s="184"/>
      <c r="DM237" s="184"/>
      <c r="DN237" s="184"/>
      <c r="DO237" s="184"/>
      <c r="DP237" s="184"/>
      <c r="DQ237" s="184"/>
      <c r="DR237" s="184"/>
      <c r="DS237" s="184"/>
      <c r="DT237" s="184"/>
      <c r="DU237" s="184"/>
      <c r="DV237" s="184"/>
      <c r="DW237" s="184"/>
      <c r="DX237" s="184"/>
      <c r="DY237" s="184"/>
      <c r="DZ237" s="184"/>
      <c r="EA237" s="224"/>
    </row>
    <row r="238" spans="1:131" x14ac:dyDescent="0.2">
      <c r="A238" s="184"/>
      <c r="B238" s="184"/>
      <c r="C238" s="184"/>
      <c r="D238" s="184"/>
      <c r="E238" s="184"/>
      <c r="F238" s="184"/>
      <c r="G238" s="184"/>
      <c r="H238" s="184"/>
      <c r="I238" s="184"/>
      <c r="J238" s="184"/>
      <c r="K238" s="184"/>
      <c r="L238" s="184"/>
      <c r="M238" s="184"/>
      <c r="N238" s="184"/>
      <c r="O238" s="184"/>
      <c r="P238" s="184"/>
      <c r="Q238" s="184"/>
      <c r="R238" s="184"/>
      <c r="S238" s="184"/>
      <c r="T238" s="184"/>
      <c r="U238" s="184"/>
      <c r="V238" s="184"/>
      <c r="W238" s="184"/>
      <c r="X238" s="184"/>
      <c r="Y238" s="184"/>
      <c r="Z238" s="184"/>
      <c r="AA238" s="184"/>
      <c r="AB238" s="184"/>
      <c r="AC238" s="184"/>
      <c r="AD238" s="184"/>
      <c r="AE238" s="184"/>
      <c r="AF238" s="184"/>
      <c r="AG238" s="184"/>
      <c r="AH238" s="184"/>
      <c r="AI238" s="184"/>
      <c r="AJ238" s="184"/>
      <c r="AK238" s="184"/>
      <c r="AL238" s="184"/>
      <c r="AM238" s="184"/>
      <c r="AN238" s="184"/>
      <c r="AO238" s="184"/>
      <c r="AP238" s="184"/>
      <c r="AQ238" s="184"/>
      <c r="AR238" s="184"/>
      <c r="AS238" s="184"/>
      <c r="AT238" s="184"/>
      <c r="AU238" s="184"/>
      <c r="AV238" s="184"/>
      <c r="AW238" s="184"/>
      <c r="AX238" s="184"/>
      <c r="AY238" s="184"/>
      <c r="AZ238" s="184"/>
      <c r="BA238" s="184"/>
      <c r="BB238" s="184"/>
      <c r="BC238" s="184"/>
      <c r="BD238" s="184"/>
      <c r="BE238" s="184"/>
      <c r="BF238" s="184"/>
      <c r="BG238" s="184"/>
      <c r="BH238" s="184"/>
      <c r="BI238" s="184"/>
      <c r="BJ238" s="184"/>
      <c r="BK238" s="184"/>
      <c r="BL238" s="184"/>
      <c r="BM238" s="184"/>
      <c r="BN238" s="184"/>
      <c r="BO238" s="184"/>
      <c r="BP238" s="184"/>
      <c r="BQ238" s="184"/>
      <c r="BR238" s="184"/>
      <c r="BS238" s="184"/>
      <c r="BT238" s="184"/>
      <c r="BU238" s="184"/>
      <c r="BV238" s="184"/>
      <c r="BW238" s="184"/>
      <c r="BX238" s="184"/>
      <c r="BY238" s="184"/>
      <c r="BZ238" s="184"/>
      <c r="CA238" s="184"/>
      <c r="CB238" s="184"/>
      <c r="CC238" s="184"/>
      <c r="CD238" s="184"/>
      <c r="CE238" s="184"/>
      <c r="CF238" s="184"/>
      <c r="CG238" s="184"/>
      <c r="CH238" s="184"/>
      <c r="CI238" s="184"/>
      <c r="CJ238" s="184"/>
      <c r="CK238" s="184"/>
      <c r="CL238" s="184"/>
      <c r="CM238" s="184"/>
      <c r="CN238" s="184"/>
      <c r="CO238" s="184"/>
      <c r="CP238" s="184"/>
      <c r="CQ238" s="184"/>
      <c r="CR238" s="184"/>
      <c r="CS238" s="184"/>
      <c r="CT238" s="184"/>
      <c r="CU238" s="184"/>
      <c r="CV238" s="184"/>
      <c r="CW238" s="184"/>
      <c r="CX238" s="184"/>
      <c r="CY238" s="184"/>
      <c r="CZ238" s="184"/>
      <c r="DA238" s="184"/>
      <c r="DB238" s="184"/>
      <c r="DC238" s="184"/>
      <c r="DD238" s="184"/>
      <c r="DE238" s="184"/>
      <c r="DF238" s="184"/>
      <c r="DG238" s="184"/>
      <c r="DH238" s="184"/>
      <c r="DI238" s="184"/>
      <c r="DJ238" s="184"/>
      <c r="DK238" s="184"/>
      <c r="DL238" s="184"/>
      <c r="DM238" s="184"/>
      <c r="DN238" s="184"/>
      <c r="DO238" s="184"/>
      <c r="DP238" s="184"/>
      <c r="DQ238" s="184"/>
      <c r="DR238" s="184"/>
      <c r="DS238" s="184"/>
      <c r="DT238" s="184"/>
      <c r="DU238" s="184"/>
      <c r="DV238" s="184"/>
      <c r="DW238" s="184"/>
      <c r="DX238" s="184"/>
      <c r="DY238" s="184"/>
      <c r="DZ238" s="184"/>
      <c r="EA238" s="224"/>
    </row>
    <row r="239" spans="1:131" x14ac:dyDescent="0.2">
      <c r="A239" s="184"/>
      <c r="B239" s="184"/>
      <c r="C239" s="184"/>
      <c r="D239" s="184"/>
      <c r="E239" s="184"/>
      <c r="F239" s="184"/>
      <c r="G239" s="184"/>
      <c r="H239" s="184"/>
      <c r="I239" s="184"/>
      <c r="J239" s="184"/>
      <c r="K239" s="184"/>
      <c r="L239" s="184"/>
      <c r="M239" s="184"/>
      <c r="N239" s="184"/>
      <c r="O239" s="184"/>
      <c r="P239" s="184"/>
      <c r="Q239" s="184"/>
      <c r="R239" s="184"/>
      <c r="S239" s="184"/>
      <c r="T239" s="184"/>
      <c r="U239" s="184"/>
      <c r="V239" s="184"/>
      <c r="W239" s="184"/>
      <c r="X239" s="184"/>
      <c r="Y239" s="184"/>
      <c r="Z239" s="184"/>
      <c r="AA239" s="184"/>
      <c r="AB239" s="184"/>
      <c r="AC239" s="184"/>
      <c r="AD239" s="184"/>
      <c r="AE239" s="184"/>
      <c r="AF239" s="184"/>
      <c r="AG239" s="184"/>
      <c r="AH239" s="184"/>
      <c r="AI239" s="184"/>
      <c r="AJ239" s="184"/>
      <c r="AK239" s="184"/>
      <c r="AL239" s="184"/>
      <c r="AM239" s="184"/>
      <c r="AN239" s="184"/>
      <c r="AO239" s="184"/>
      <c r="AP239" s="184"/>
      <c r="AQ239" s="184"/>
      <c r="AR239" s="184"/>
      <c r="AS239" s="184"/>
      <c r="AT239" s="184"/>
      <c r="AU239" s="184"/>
      <c r="AV239" s="184"/>
      <c r="AW239" s="184"/>
      <c r="AX239" s="184"/>
      <c r="AY239" s="184"/>
      <c r="AZ239" s="184"/>
      <c r="BA239" s="184"/>
      <c r="BB239" s="184"/>
      <c r="BC239" s="184"/>
      <c r="BD239" s="184"/>
      <c r="BE239" s="184"/>
      <c r="BF239" s="184"/>
      <c r="BG239" s="184"/>
      <c r="BH239" s="184"/>
      <c r="BI239" s="184"/>
      <c r="BJ239" s="184"/>
      <c r="BK239" s="184"/>
      <c r="BL239" s="184"/>
      <c r="BM239" s="184"/>
      <c r="BN239" s="184"/>
      <c r="BO239" s="184"/>
      <c r="BP239" s="184"/>
      <c r="BQ239" s="184"/>
      <c r="BR239" s="184"/>
      <c r="BS239" s="184"/>
      <c r="BT239" s="184"/>
      <c r="BU239" s="184"/>
      <c r="BV239" s="184"/>
      <c r="BW239" s="184"/>
      <c r="BX239" s="184"/>
      <c r="BY239" s="184"/>
      <c r="BZ239" s="184"/>
      <c r="CA239" s="184"/>
      <c r="CB239" s="184"/>
      <c r="CC239" s="184"/>
      <c r="CD239" s="184"/>
      <c r="CE239" s="184"/>
      <c r="CF239" s="184"/>
      <c r="CG239" s="184"/>
      <c r="CH239" s="184"/>
      <c r="CI239" s="184"/>
      <c r="CJ239" s="184"/>
      <c r="CK239" s="184"/>
      <c r="CL239" s="184"/>
      <c r="CM239" s="184"/>
      <c r="CN239" s="184"/>
      <c r="CO239" s="184"/>
      <c r="CP239" s="184"/>
      <c r="CQ239" s="184"/>
      <c r="CR239" s="184"/>
      <c r="CS239" s="184"/>
      <c r="CT239" s="184"/>
      <c r="CU239" s="184"/>
      <c r="CV239" s="184"/>
      <c r="CW239" s="184"/>
      <c r="CX239" s="184"/>
      <c r="CY239" s="184"/>
      <c r="CZ239" s="184"/>
      <c r="DA239" s="184"/>
      <c r="DB239" s="184"/>
      <c r="DC239" s="184"/>
      <c r="DD239" s="184"/>
      <c r="DE239" s="184"/>
      <c r="DF239" s="184"/>
      <c r="DG239" s="184"/>
      <c r="DH239" s="184"/>
      <c r="DI239" s="184"/>
      <c r="DJ239" s="184"/>
      <c r="DK239" s="184"/>
      <c r="DL239" s="184"/>
      <c r="DM239" s="184"/>
      <c r="DN239" s="184"/>
      <c r="DO239" s="184"/>
      <c r="DP239" s="184"/>
      <c r="DQ239" s="184"/>
      <c r="DR239" s="184"/>
      <c r="DS239" s="184"/>
      <c r="DT239" s="184"/>
      <c r="DU239" s="184"/>
      <c r="DV239" s="184"/>
      <c r="DW239" s="184"/>
      <c r="DX239" s="184"/>
      <c r="DY239" s="184"/>
      <c r="DZ239" s="184"/>
      <c r="EA239" s="224"/>
    </row>
    <row r="240" spans="1:131" x14ac:dyDescent="0.2">
      <c r="A240" s="184"/>
      <c r="B240" s="184"/>
      <c r="C240" s="184"/>
      <c r="D240" s="184"/>
      <c r="E240" s="184"/>
      <c r="F240" s="184"/>
      <c r="G240" s="184"/>
      <c r="H240" s="184"/>
      <c r="I240" s="184"/>
      <c r="J240" s="184"/>
      <c r="K240" s="184"/>
      <c r="L240" s="184"/>
      <c r="M240" s="184"/>
      <c r="N240" s="184"/>
      <c r="O240" s="184"/>
      <c r="P240" s="184"/>
      <c r="Q240" s="184"/>
      <c r="R240" s="184"/>
      <c r="S240" s="184"/>
      <c r="T240" s="184"/>
      <c r="U240" s="184"/>
      <c r="V240" s="184"/>
      <c r="W240" s="184"/>
      <c r="X240" s="184"/>
      <c r="Y240" s="184"/>
      <c r="Z240" s="184"/>
      <c r="AA240" s="184"/>
      <c r="AB240" s="184"/>
      <c r="AC240" s="184"/>
      <c r="AD240" s="184"/>
      <c r="AE240" s="184"/>
      <c r="AF240" s="184"/>
      <c r="AG240" s="184"/>
      <c r="AH240" s="184"/>
      <c r="AI240" s="184"/>
      <c r="AJ240" s="184"/>
      <c r="AK240" s="184"/>
      <c r="AL240" s="184"/>
      <c r="AM240" s="184"/>
      <c r="AN240" s="184"/>
      <c r="AO240" s="184"/>
      <c r="AP240" s="184"/>
      <c r="AQ240" s="184"/>
      <c r="AR240" s="184"/>
      <c r="AS240" s="184"/>
      <c r="AT240" s="184"/>
      <c r="AU240" s="184"/>
      <c r="AV240" s="184"/>
      <c r="AW240" s="184"/>
      <c r="AX240" s="184"/>
      <c r="AY240" s="184"/>
      <c r="AZ240" s="184"/>
      <c r="BA240" s="184"/>
      <c r="BB240" s="184"/>
      <c r="BC240" s="184"/>
      <c r="BD240" s="184"/>
      <c r="BE240" s="184"/>
      <c r="BF240" s="184"/>
      <c r="BG240" s="184"/>
      <c r="BH240" s="184"/>
      <c r="BI240" s="184"/>
      <c r="BJ240" s="184"/>
      <c r="BK240" s="184"/>
      <c r="BL240" s="184"/>
      <c r="BM240" s="184"/>
      <c r="BN240" s="184"/>
      <c r="BO240" s="184"/>
      <c r="BP240" s="184"/>
      <c r="BQ240" s="184"/>
      <c r="BR240" s="184"/>
      <c r="BS240" s="184"/>
      <c r="BT240" s="184"/>
      <c r="BU240" s="184"/>
      <c r="BV240" s="184"/>
      <c r="BW240" s="184"/>
      <c r="BX240" s="184"/>
      <c r="BY240" s="184"/>
      <c r="BZ240" s="184"/>
      <c r="CA240" s="184"/>
      <c r="CB240" s="184"/>
      <c r="CC240" s="184"/>
      <c r="CD240" s="184"/>
      <c r="CE240" s="184"/>
      <c r="CF240" s="184"/>
      <c r="CG240" s="184"/>
      <c r="CH240" s="184"/>
      <c r="CI240" s="184"/>
      <c r="CJ240" s="184"/>
      <c r="CK240" s="184"/>
      <c r="CL240" s="184"/>
      <c r="CM240" s="184"/>
      <c r="CN240" s="184"/>
      <c r="CO240" s="184"/>
      <c r="CP240" s="184"/>
      <c r="CQ240" s="184"/>
      <c r="CR240" s="184"/>
      <c r="CS240" s="184"/>
      <c r="CT240" s="184"/>
      <c r="CU240" s="184"/>
      <c r="CV240" s="184"/>
      <c r="CW240" s="184"/>
      <c r="CX240" s="184"/>
      <c r="CY240" s="184"/>
      <c r="CZ240" s="184"/>
      <c r="DA240" s="184"/>
      <c r="DB240" s="184"/>
      <c r="DC240" s="184"/>
      <c r="DD240" s="184"/>
      <c r="DE240" s="184"/>
      <c r="DF240" s="184"/>
      <c r="DG240" s="184"/>
      <c r="DH240" s="184"/>
      <c r="DI240" s="184"/>
      <c r="DJ240" s="184"/>
      <c r="DK240" s="184"/>
      <c r="DL240" s="184"/>
      <c r="DM240" s="184"/>
      <c r="DN240" s="184"/>
      <c r="DO240" s="184"/>
      <c r="DP240" s="184"/>
      <c r="DQ240" s="184"/>
      <c r="DR240" s="184"/>
      <c r="DS240" s="184"/>
      <c r="DT240" s="184"/>
      <c r="DU240" s="184"/>
      <c r="DV240" s="184"/>
      <c r="DW240" s="184"/>
      <c r="DX240" s="184"/>
      <c r="DY240" s="184"/>
      <c r="DZ240" s="184"/>
      <c r="EA240" s="224"/>
    </row>
    <row r="241" spans="1:131" x14ac:dyDescent="0.2">
      <c r="A241" s="184"/>
      <c r="B241" s="184"/>
      <c r="C241" s="184"/>
      <c r="D241" s="184"/>
      <c r="E241" s="184"/>
      <c r="F241" s="184"/>
      <c r="G241" s="184"/>
      <c r="H241" s="184"/>
      <c r="I241" s="184"/>
      <c r="J241" s="184"/>
      <c r="K241" s="184"/>
      <c r="L241" s="184"/>
      <c r="M241" s="184"/>
      <c r="N241" s="184"/>
      <c r="O241" s="184"/>
      <c r="P241" s="184"/>
      <c r="Q241" s="184"/>
      <c r="R241" s="184"/>
      <c r="S241" s="184"/>
      <c r="T241" s="184"/>
      <c r="U241" s="184"/>
      <c r="V241" s="184"/>
      <c r="W241" s="184"/>
      <c r="X241" s="184"/>
      <c r="Y241" s="184"/>
      <c r="Z241" s="184"/>
      <c r="AA241" s="184"/>
      <c r="AB241" s="184"/>
      <c r="AC241" s="184"/>
      <c r="AD241" s="184"/>
      <c r="AE241" s="184"/>
      <c r="AF241" s="184"/>
      <c r="AG241" s="184"/>
      <c r="AH241" s="184"/>
      <c r="AI241" s="184"/>
      <c r="AJ241" s="184"/>
      <c r="AK241" s="184"/>
      <c r="AL241" s="184"/>
      <c r="AM241" s="184"/>
      <c r="AN241" s="184"/>
      <c r="AO241" s="184"/>
      <c r="AP241" s="184"/>
      <c r="AQ241" s="184"/>
      <c r="AR241" s="184"/>
      <c r="AS241" s="184"/>
      <c r="AT241" s="184"/>
      <c r="AU241" s="184"/>
      <c r="AV241" s="184"/>
      <c r="AW241" s="184"/>
      <c r="AX241" s="184"/>
      <c r="AY241" s="184"/>
      <c r="AZ241" s="184"/>
      <c r="BA241" s="184"/>
      <c r="BB241" s="184"/>
      <c r="BC241" s="184"/>
      <c r="BD241" s="184"/>
      <c r="BE241" s="184"/>
      <c r="BF241" s="184"/>
      <c r="BG241" s="184"/>
      <c r="BH241" s="184"/>
      <c r="BI241" s="184"/>
      <c r="BJ241" s="184"/>
      <c r="BK241" s="184"/>
      <c r="BL241" s="184"/>
      <c r="BM241" s="184"/>
      <c r="BN241" s="184"/>
      <c r="BO241" s="184"/>
      <c r="BP241" s="184"/>
      <c r="BQ241" s="184"/>
      <c r="BR241" s="184"/>
      <c r="BS241" s="184"/>
      <c r="BT241" s="184"/>
      <c r="BU241" s="184"/>
      <c r="BV241" s="184"/>
      <c r="BW241" s="184"/>
      <c r="BX241" s="184"/>
      <c r="BY241" s="184"/>
      <c r="BZ241" s="184"/>
      <c r="CA241" s="184"/>
      <c r="CB241" s="184"/>
      <c r="CC241" s="184"/>
      <c r="CD241" s="184"/>
      <c r="CE241" s="184"/>
      <c r="CF241" s="184"/>
      <c r="CG241" s="184"/>
      <c r="CH241" s="184"/>
      <c r="CI241" s="184"/>
      <c r="CJ241" s="184"/>
      <c r="CK241" s="184"/>
      <c r="CL241" s="184"/>
      <c r="CM241" s="184"/>
      <c r="CN241" s="184"/>
      <c r="CO241" s="184"/>
      <c r="CP241" s="184"/>
      <c r="CQ241" s="184"/>
      <c r="CR241" s="184"/>
      <c r="CS241" s="184"/>
      <c r="CT241" s="184"/>
      <c r="CU241" s="184"/>
      <c r="CV241" s="184"/>
      <c r="CW241" s="184"/>
      <c r="CX241" s="184"/>
      <c r="CY241" s="184"/>
      <c r="CZ241" s="184"/>
      <c r="DA241" s="184"/>
      <c r="DB241" s="184"/>
      <c r="DC241" s="184"/>
      <c r="DD241" s="184"/>
      <c r="DE241" s="184"/>
      <c r="DF241" s="184"/>
      <c r="DG241" s="184"/>
      <c r="DH241" s="184"/>
      <c r="DI241" s="184"/>
      <c r="DJ241" s="184"/>
      <c r="DK241" s="184"/>
      <c r="DL241" s="184"/>
      <c r="DM241" s="184"/>
      <c r="DN241" s="184"/>
      <c r="DO241" s="184"/>
      <c r="DP241" s="184"/>
      <c r="DQ241" s="184"/>
      <c r="DR241" s="184"/>
      <c r="DS241" s="184"/>
      <c r="DT241" s="184"/>
      <c r="DU241" s="184"/>
      <c r="DV241" s="184"/>
      <c r="DW241" s="184"/>
      <c r="DX241" s="184"/>
      <c r="DY241" s="184"/>
      <c r="DZ241" s="184"/>
      <c r="EA241" s="224"/>
    </row>
    <row r="242" spans="1:131" x14ac:dyDescent="0.2">
      <c r="A242" s="184"/>
      <c r="B242" s="184"/>
      <c r="C242" s="184"/>
      <c r="D242" s="184"/>
      <c r="E242" s="184"/>
      <c r="F242" s="184"/>
      <c r="G242" s="184"/>
      <c r="H242" s="184"/>
      <c r="I242" s="184"/>
      <c r="J242" s="184"/>
      <c r="K242" s="184"/>
      <c r="L242" s="184"/>
      <c r="M242" s="184"/>
      <c r="N242" s="184"/>
      <c r="O242" s="184"/>
      <c r="P242" s="184"/>
      <c r="Q242" s="184"/>
      <c r="R242" s="184"/>
      <c r="S242" s="184"/>
      <c r="T242" s="184"/>
      <c r="U242" s="184"/>
      <c r="V242" s="184"/>
      <c r="W242" s="184"/>
      <c r="X242" s="184"/>
      <c r="Y242" s="184"/>
      <c r="Z242" s="184"/>
      <c r="AA242" s="184"/>
      <c r="AB242" s="184"/>
      <c r="AC242" s="184"/>
      <c r="AD242" s="184"/>
      <c r="AE242" s="184"/>
      <c r="AF242" s="184"/>
      <c r="AG242" s="184"/>
      <c r="AH242" s="184"/>
      <c r="AI242" s="184"/>
      <c r="AJ242" s="184"/>
      <c r="AK242" s="184"/>
      <c r="AL242" s="184"/>
      <c r="AM242" s="184"/>
      <c r="AN242" s="184"/>
      <c r="AO242" s="184"/>
      <c r="AP242" s="184"/>
      <c r="AQ242" s="184"/>
      <c r="AR242" s="184"/>
      <c r="AS242" s="184"/>
      <c r="AT242" s="184"/>
      <c r="AU242" s="184"/>
      <c r="AV242" s="184"/>
      <c r="AW242" s="184"/>
      <c r="AX242" s="184"/>
      <c r="AY242" s="184"/>
      <c r="AZ242" s="184"/>
      <c r="BA242" s="184"/>
      <c r="BB242" s="184"/>
      <c r="BC242" s="184"/>
      <c r="BD242" s="184"/>
      <c r="BE242" s="184"/>
      <c r="BF242" s="184"/>
      <c r="BG242" s="184"/>
      <c r="BH242" s="184"/>
      <c r="BI242" s="184"/>
      <c r="BJ242" s="184"/>
      <c r="BK242" s="184"/>
      <c r="BL242" s="184"/>
      <c r="BM242" s="184"/>
      <c r="BN242" s="184"/>
      <c r="BO242" s="184"/>
      <c r="BP242" s="184"/>
      <c r="BQ242" s="184"/>
      <c r="BR242" s="184"/>
      <c r="BS242" s="184"/>
      <c r="BT242" s="184"/>
      <c r="BU242" s="184"/>
      <c r="BV242" s="184"/>
      <c r="BW242" s="184"/>
      <c r="BX242" s="184"/>
      <c r="BY242" s="184"/>
      <c r="BZ242" s="184"/>
      <c r="CA242" s="184"/>
      <c r="CB242" s="184"/>
      <c r="CC242" s="184"/>
      <c r="CD242" s="184"/>
      <c r="CE242" s="184"/>
      <c r="CF242" s="184"/>
      <c r="CG242" s="184"/>
      <c r="CH242" s="184"/>
      <c r="CI242" s="184"/>
      <c r="CJ242" s="184"/>
      <c r="CK242" s="184"/>
      <c r="CL242" s="184"/>
      <c r="CM242" s="184"/>
      <c r="CN242" s="184"/>
      <c r="CO242" s="184"/>
      <c r="CP242" s="184"/>
      <c r="CQ242" s="184"/>
      <c r="CR242" s="184"/>
      <c r="CS242" s="184"/>
      <c r="CT242" s="184"/>
      <c r="CU242" s="184"/>
      <c r="CV242" s="184"/>
      <c r="CW242" s="184"/>
      <c r="CX242" s="184"/>
      <c r="CY242" s="184"/>
      <c r="CZ242" s="184"/>
      <c r="DA242" s="184"/>
      <c r="DB242" s="184"/>
      <c r="DC242" s="184"/>
      <c r="DD242" s="184"/>
      <c r="DE242" s="184"/>
      <c r="DF242" s="184"/>
      <c r="DG242" s="184"/>
      <c r="DH242" s="184"/>
      <c r="DI242" s="184"/>
      <c r="DJ242" s="184"/>
      <c r="DK242" s="184"/>
      <c r="DL242" s="184"/>
      <c r="DM242" s="184"/>
      <c r="DN242" s="184"/>
      <c r="DO242" s="184"/>
      <c r="DP242" s="184"/>
      <c r="DQ242" s="184"/>
      <c r="DR242" s="184"/>
      <c r="DS242" s="184"/>
      <c r="DT242" s="184"/>
      <c r="DU242" s="184"/>
      <c r="DV242" s="184"/>
      <c r="DW242" s="184"/>
      <c r="DX242" s="184"/>
      <c r="DY242" s="184"/>
      <c r="DZ242" s="184"/>
      <c r="EA242" s="224"/>
    </row>
    <row r="243" spans="1:131" x14ac:dyDescent="0.2">
      <c r="A243" s="184"/>
      <c r="B243" s="184"/>
      <c r="C243" s="184"/>
      <c r="D243" s="184"/>
      <c r="E243" s="184"/>
      <c r="F243" s="184"/>
      <c r="G243" s="184"/>
      <c r="H243" s="184"/>
      <c r="I243" s="184"/>
      <c r="J243" s="184"/>
      <c r="K243" s="184"/>
      <c r="L243" s="184"/>
      <c r="M243" s="184"/>
      <c r="N243" s="184"/>
      <c r="O243" s="184"/>
      <c r="P243" s="184"/>
      <c r="Q243" s="184"/>
      <c r="R243" s="184"/>
      <c r="S243" s="184"/>
      <c r="T243" s="184"/>
      <c r="U243" s="184"/>
      <c r="V243" s="184"/>
      <c r="W243" s="184"/>
      <c r="X243" s="184"/>
      <c r="Y243" s="184"/>
      <c r="Z243" s="184"/>
      <c r="AA243" s="184"/>
      <c r="AB243" s="184"/>
      <c r="AC243" s="184"/>
      <c r="AD243" s="184"/>
      <c r="AE243" s="184"/>
      <c r="AF243" s="184"/>
      <c r="AG243" s="184"/>
      <c r="AH243" s="184"/>
      <c r="AI243" s="184"/>
      <c r="AJ243" s="184"/>
      <c r="AK243" s="184"/>
      <c r="AL243" s="184"/>
      <c r="AM243" s="184"/>
      <c r="AN243" s="184"/>
      <c r="AO243" s="184"/>
      <c r="AP243" s="184"/>
      <c r="AQ243" s="184"/>
      <c r="AR243" s="184"/>
      <c r="AS243" s="184"/>
      <c r="AT243" s="184"/>
      <c r="AU243" s="184"/>
      <c r="AV243" s="184"/>
      <c r="AW243" s="184"/>
      <c r="AX243" s="184"/>
      <c r="AY243" s="184"/>
      <c r="AZ243" s="184"/>
      <c r="BA243" s="184"/>
      <c r="BB243" s="184"/>
      <c r="BC243" s="184"/>
      <c r="BD243" s="184"/>
      <c r="BE243" s="184"/>
      <c r="BF243" s="184"/>
      <c r="BG243" s="184"/>
      <c r="BH243" s="184"/>
      <c r="BI243" s="184"/>
      <c r="BJ243" s="184"/>
      <c r="BK243" s="184"/>
      <c r="BL243" s="184"/>
      <c r="BM243" s="184"/>
      <c r="BN243" s="184"/>
      <c r="BO243" s="184"/>
      <c r="BP243" s="184"/>
      <c r="BQ243" s="184"/>
      <c r="BR243" s="184"/>
      <c r="BS243" s="184"/>
      <c r="BT243" s="184"/>
      <c r="BU243" s="184"/>
      <c r="BV243" s="184"/>
      <c r="BW243" s="184"/>
      <c r="BX243" s="184"/>
      <c r="BY243" s="184"/>
      <c r="BZ243" s="184"/>
      <c r="CA243" s="184"/>
      <c r="CB243" s="184"/>
      <c r="CC243" s="184"/>
      <c r="CD243" s="184"/>
      <c r="CE243" s="184"/>
      <c r="CF243" s="184"/>
      <c r="CG243" s="184"/>
      <c r="CH243" s="184"/>
      <c r="CI243" s="184"/>
      <c r="CJ243" s="184"/>
      <c r="CK243" s="184"/>
      <c r="CL243" s="184"/>
      <c r="CM243" s="184"/>
      <c r="CN243" s="184"/>
      <c r="CO243" s="184"/>
      <c r="CP243" s="184"/>
      <c r="CQ243" s="184"/>
      <c r="CR243" s="184"/>
      <c r="CS243" s="184"/>
      <c r="CT243" s="184"/>
      <c r="CU243" s="184"/>
      <c r="CV243" s="184"/>
      <c r="CW243" s="184"/>
      <c r="CX243" s="184"/>
      <c r="CY243" s="184"/>
      <c r="CZ243" s="184"/>
      <c r="DA243" s="184"/>
      <c r="DB243" s="184"/>
      <c r="DC243" s="184"/>
      <c r="DD243" s="184"/>
      <c r="DE243" s="184"/>
      <c r="DF243" s="184"/>
      <c r="DG243" s="184"/>
      <c r="DH243" s="184"/>
      <c r="DI243" s="184"/>
      <c r="DJ243" s="184"/>
      <c r="DK243" s="184"/>
      <c r="DL243" s="184"/>
      <c r="DM243" s="184"/>
      <c r="DN243" s="184"/>
      <c r="DO243" s="184"/>
      <c r="DP243" s="184"/>
      <c r="DQ243" s="184"/>
      <c r="DR243" s="184"/>
      <c r="DS243" s="184"/>
      <c r="DT243" s="184"/>
      <c r="DU243" s="184"/>
      <c r="DV243" s="184"/>
      <c r="DW243" s="184"/>
      <c r="DX243" s="184"/>
      <c r="DY243" s="184"/>
      <c r="DZ243" s="184"/>
      <c r="EA243" s="224"/>
    </row>
    <row r="244" spans="1:131" x14ac:dyDescent="0.2">
      <c r="A244" s="184"/>
      <c r="B244" s="184"/>
      <c r="C244" s="184"/>
      <c r="D244" s="184"/>
      <c r="E244" s="184"/>
      <c r="F244" s="184"/>
      <c r="G244" s="184"/>
      <c r="H244" s="184"/>
      <c r="I244" s="184"/>
      <c r="J244" s="184"/>
      <c r="K244" s="184"/>
      <c r="L244" s="184"/>
      <c r="M244" s="184"/>
      <c r="N244" s="184"/>
      <c r="O244" s="184"/>
      <c r="P244" s="184"/>
      <c r="Q244" s="184"/>
      <c r="R244" s="184"/>
      <c r="S244" s="184"/>
      <c r="T244" s="184"/>
      <c r="U244" s="184"/>
      <c r="V244" s="184"/>
      <c r="W244" s="184"/>
      <c r="X244" s="184"/>
      <c r="Y244" s="184"/>
      <c r="Z244" s="184"/>
      <c r="AA244" s="184"/>
      <c r="AB244" s="184"/>
      <c r="AC244" s="184"/>
      <c r="AD244" s="184"/>
      <c r="AE244" s="184"/>
      <c r="AF244" s="184"/>
      <c r="AG244" s="184"/>
      <c r="AH244" s="184"/>
      <c r="AI244" s="184"/>
      <c r="AJ244" s="184"/>
      <c r="AK244" s="184"/>
      <c r="AL244" s="184"/>
      <c r="AM244" s="184"/>
      <c r="AN244" s="184"/>
      <c r="AO244" s="184"/>
      <c r="AP244" s="184"/>
      <c r="AQ244" s="184"/>
      <c r="AR244" s="184"/>
      <c r="AS244" s="184"/>
      <c r="AT244" s="184"/>
      <c r="AU244" s="184"/>
      <c r="AV244" s="184"/>
      <c r="AW244" s="184"/>
      <c r="AX244" s="184"/>
      <c r="AY244" s="184"/>
      <c r="AZ244" s="184"/>
      <c r="BA244" s="184"/>
      <c r="BB244" s="184"/>
      <c r="BC244" s="184"/>
      <c r="BD244" s="184"/>
      <c r="BE244" s="184"/>
      <c r="BF244" s="184"/>
      <c r="BG244" s="184"/>
      <c r="BH244" s="184"/>
      <c r="BI244" s="184"/>
      <c r="BJ244" s="184"/>
      <c r="BK244" s="184"/>
      <c r="BL244" s="184"/>
      <c r="BM244" s="184"/>
      <c r="BN244" s="184"/>
      <c r="BO244" s="184"/>
      <c r="BP244" s="184"/>
      <c r="BQ244" s="184"/>
      <c r="BR244" s="184"/>
      <c r="BS244" s="184"/>
      <c r="BT244" s="184"/>
      <c r="BU244" s="184"/>
      <c r="BV244" s="184"/>
      <c r="BW244" s="184"/>
      <c r="BX244" s="184"/>
      <c r="BY244" s="184"/>
      <c r="BZ244" s="184"/>
      <c r="CA244" s="184"/>
      <c r="CB244" s="184"/>
      <c r="CC244" s="184"/>
      <c r="CD244" s="184"/>
      <c r="CE244" s="184"/>
      <c r="CF244" s="184"/>
      <c r="CG244" s="184"/>
      <c r="CH244" s="184"/>
      <c r="CI244" s="184"/>
      <c r="CJ244" s="184"/>
      <c r="CK244" s="184"/>
      <c r="CL244" s="184"/>
      <c r="CM244" s="184"/>
      <c r="CN244" s="184"/>
      <c r="CO244" s="184"/>
      <c r="CP244" s="184"/>
      <c r="CQ244" s="184"/>
      <c r="CR244" s="184"/>
      <c r="CS244" s="184"/>
      <c r="CT244" s="184"/>
      <c r="CU244" s="184"/>
      <c r="CV244" s="184"/>
      <c r="CW244" s="184"/>
      <c r="CX244" s="184"/>
      <c r="CY244" s="184"/>
      <c r="CZ244" s="184"/>
      <c r="DA244" s="184"/>
      <c r="DB244" s="184"/>
      <c r="DC244" s="184"/>
      <c r="DD244" s="184"/>
      <c r="DE244" s="184"/>
      <c r="DF244" s="184"/>
      <c r="DG244" s="184"/>
      <c r="DH244" s="184"/>
      <c r="DI244" s="184"/>
      <c r="DJ244" s="184"/>
      <c r="DK244" s="184"/>
      <c r="DL244" s="184"/>
      <c r="DM244" s="184"/>
      <c r="DN244" s="184"/>
      <c r="DO244" s="184"/>
      <c r="DP244" s="184"/>
      <c r="DQ244" s="184"/>
      <c r="DR244" s="184"/>
      <c r="DS244" s="184"/>
      <c r="DT244" s="184"/>
      <c r="DU244" s="184"/>
      <c r="DV244" s="184"/>
      <c r="DW244" s="184"/>
      <c r="DX244" s="184"/>
      <c r="DY244" s="184"/>
      <c r="DZ244" s="184"/>
      <c r="EA244" s="224"/>
    </row>
    <row r="245" spans="1:131" x14ac:dyDescent="0.2">
      <c r="A245" s="184"/>
      <c r="B245" s="184"/>
      <c r="C245" s="184"/>
      <c r="D245" s="184"/>
      <c r="E245" s="184"/>
      <c r="F245" s="184"/>
      <c r="G245" s="184"/>
      <c r="H245" s="184"/>
      <c r="I245" s="184"/>
      <c r="J245" s="184"/>
      <c r="K245" s="184"/>
      <c r="L245" s="184"/>
      <c r="M245" s="184"/>
      <c r="N245" s="184"/>
      <c r="O245" s="184"/>
      <c r="P245" s="184"/>
      <c r="Q245" s="184"/>
      <c r="R245" s="184"/>
      <c r="S245" s="184"/>
      <c r="T245" s="184"/>
      <c r="U245" s="184"/>
      <c r="V245" s="184"/>
      <c r="W245" s="184"/>
      <c r="X245" s="184"/>
      <c r="Y245" s="184"/>
      <c r="Z245" s="184"/>
      <c r="AA245" s="184"/>
      <c r="AB245" s="184"/>
      <c r="AC245" s="184"/>
      <c r="AD245" s="184"/>
      <c r="AE245" s="184"/>
      <c r="AF245" s="184"/>
      <c r="AG245" s="184"/>
      <c r="AH245" s="184"/>
      <c r="AI245" s="184"/>
      <c r="AJ245" s="184"/>
      <c r="AK245" s="184"/>
      <c r="AL245" s="184"/>
      <c r="AM245" s="184"/>
      <c r="AN245" s="184"/>
      <c r="AO245" s="184"/>
      <c r="AP245" s="184"/>
      <c r="AQ245" s="184"/>
      <c r="AR245" s="184"/>
      <c r="AS245" s="184"/>
      <c r="AT245" s="184"/>
      <c r="AU245" s="184"/>
      <c r="AV245" s="184"/>
      <c r="AW245" s="184"/>
      <c r="AX245" s="184"/>
      <c r="AY245" s="184"/>
      <c r="AZ245" s="184"/>
      <c r="BA245" s="184"/>
      <c r="BB245" s="184"/>
      <c r="BC245" s="184"/>
      <c r="BD245" s="184"/>
      <c r="BE245" s="184"/>
      <c r="BF245" s="184"/>
      <c r="BG245" s="184"/>
      <c r="BH245" s="184"/>
      <c r="BI245" s="184"/>
      <c r="BJ245" s="184"/>
      <c r="BK245" s="184"/>
      <c r="BL245" s="184"/>
      <c r="BM245" s="184"/>
      <c r="BN245" s="184"/>
      <c r="BO245" s="184"/>
      <c r="BP245" s="184"/>
      <c r="BQ245" s="184"/>
      <c r="BR245" s="184"/>
      <c r="BS245" s="184"/>
      <c r="BT245" s="184"/>
      <c r="BU245" s="184"/>
      <c r="BV245" s="184"/>
      <c r="BW245" s="184"/>
      <c r="BX245" s="184"/>
      <c r="BY245" s="184"/>
      <c r="BZ245" s="184"/>
      <c r="CA245" s="184"/>
      <c r="CB245" s="184"/>
      <c r="CC245" s="184"/>
      <c r="CD245" s="184"/>
      <c r="CE245" s="184"/>
      <c r="CF245" s="184"/>
      <c r="CG245" s="184"/>
      <c r="CH245" s="184"/>
      <c r="CI245" s="184"/>
      <c r="CJ245" s="184"/>
      <c r="CK245" s="184"/>
      <c r="CL245" s="184"/>
      <c r="CM245" s="184"/>
      <c r="CN245" s="184"/>
      <c r="CO245" s="184"/>
      <c r="CP245" s="184"/>
      <c r="CQ245" s="184"/>
      <c r="CR245" s="184"/>
      <c r="CS245" s="184"/>
      <c r="CT245" s="184"/>
      <c r="CU245" s="184"/>
      <c r="CV245" s="184"/>
      <c r="CW245" s="184"/>
      <c r="CX245" s="184"/>
      <c r="CY245" s="184"/>
      <c r="CZ245" s="184"/>
      <c r="DA245" s="184"/>
      <c r="DB245" s="184"/>
      <c r="DC245" s="184"/>
      <c r="DD245" s="184"/>
      <c r="DE245" s="184"/>
      <c r="DF245" s="184"/>
      <c r="DG245" s="184"/>
      <c r="DH245" s="184"/>
      <c r="DI245" s="184"/>
      <c r="DJ245" s="184"/>
      <c r="DK245" s="184"/>
      <c r="DL245" s="184"/>
      <c r="DM245" s="184"/>
      <c r="DN245" s="184"/>
      <c r="DO245" s="184"/>
      <c r="DP245" s="184"/>
      <c r="DQ245" s="184"/>
      <c r="DR245" s="184"/>
      <c r="DS245" s="184"/>
      <c r="DT245" s="184"/>
      <c r="DU245" s="184"/>
      <c r="DV245" s="184"/>
      <c r="DW245" s="184"/>
      <c r="DX245" s="184"/>
      <c r="DY245" s="184"/>
      <c r="DZ245" s="184"/>
      <c r="EA245" s="224"/>
    </row>
    <row r="246" spans="1:131" x14ac:dyDescent="0.2">
      <c r="A246" s="184"/>
      <c r="B246" s="184"/>
      <c r="C246" s="184"/>
      <c r="D246" s="184"/>
      <c r="E246" s="184"/>
      <c r="F246" s="184"/>
      <c r="G246" s="184"/>
      <c r="H246" s="184"/>
      <c r="I246" s="184"/>
      <c r="J246" s="184"/>
      <c r="K246" s="184"/>
      <c r="L246" s="184"/>
      <c r="M246" s="184"/>
      <c r="N246" s="184"/>
      <c r="O246" s="184"/>
      <c r="P246" s="184"/>
      <c r="Q246" s="184"/>
      <c r="R246" s="184"/>
      <c r="S246" s="184"/>
      <c r="T246" s="184"/>
      <c r="U246" s="184"/>
      <c r="V246" s="184"/>
      <c r="W246" s="184"/>
      <c r="X246" s="184"/>
      <c r="Y246" s="184"/>
      <c r="Z246" s="184"/>
      <c r="AA246" s="184"/>
      <c r="AB246" s="184"/>
      <c r="AC246" s="184"/>
      <c r="AD246" s="184"/>
      <c r="AE246" s="184"/>
      <c r="AF246" s="184"/>
      <c r="AG246" s="184"/>
      <c r="AH246" s="184"/>
      <c r="AI246" s="184"/>
      <c r="AJ246" s="184"/>
      <c r="AK246" s="184"/>
      <c r="AL246" s="184"/>
      <c r="AM246" s="184"/>
      <c r="AN246" s="184"/>
      <c r="AO246" s="184"/>
      <c r="AP246" s="184"/>
      <c r="AQ246" s="184"/>
      <c r="AR246" s="184"/>
      <c r="AS246" s="184"/>
      <c r="AT246" s="184"/>
      <c r="AU246" s="184"/>
      <c r="AV246" s="184"/>
      <c r="AW246" s="184"/>
      <c r="AX246" s="184"/>
      <c r="AY246" s="184"/>
      <c r="AZ246" s="184"/>
      <c r="BA246" s="184"/>
      <c r="BB246" s="184"/>
      <c r="BC246" s="184"/>
      <c r="BD246" s="184"/>
      <c r="BE246" s="184"/>
      <c r="BF246" s="184"/>
      <c r="BG246" s="184"/>
      <c r="BH246" s="184"/>
      <c r="BI246" s="184"/>
      <c r="BJ246" s="184"/>
      <c r="BK246" s="184"/>
      <c r="BL246" s="184"/>
      <c r="BM246" s="184"/>
      <c r="BN246" s="184"/>
      <c r="BO246" s="184"/>
      <c r="BP246" s="184"/>
      <c r="BQ246" s="184"/>
      <c r="BR246" s="184"/>
      <c r="BS246" s="184"/>
      <c r="BT246" s="184"/>
      <c r="BU246" s="184"/>
      <c r="BV246" s="184"/>
      <c r="BW246" s="184"/>
      <c r="BX246" s="184"/>
      <c r="BY246" s="184"/>
      <c r="BZ246" s="184"/>
      <c r="CA246" s="184"/>
      <c r="CB246" s="184"/>
      <c r="CC246" s="184"/>
      <c r="CD246" s="184"/>
      <c r="CE246" s="184"/>
      <c r="CF246" s="184"/>
      <c r="CG246" s="184"/>
      <c r="CH246" s="184"/>
      <c r="CI246" s="184"/>
      <c r="CJ246" s="184"/>
      <c r="CK246" s="184"/>
      <c r="CL246" s="184"/>
      <c r="CM246" s="184"/>
      <c r="CN246" s="184"/>
      <c r="CO246" s="184"/>
      <c r="CP246" s="184"/>
      <c r="CQ246" s="184"/>
      <c r="CR246" s="184"/>
      <c r="CS246" s="184"/>
      <c r="CT246" s="184"/>
      <c r="CU246" s="184"/>
      <c r="CV246" s="184"/>
      <c r="CW246" s="184"/>
      <c r="CX246" s="184"/>
      <c r="CY246" s="184"/>
      <c r="CZ246" s="184"/>
      <c r="DA246" s="184"/>
      <c r="DB246" s="184"/>
      <c r="DC246" s="184"/>
      <c r="DD246" s="184"/>
      <c r="DE246" s="184"/>
      <c r="DF246" s="184"/>
      <c r="DG246" s="184"/>
      <c r="DH246" s="184"/>
      <c r="DI246" s="184"/>
      <c r="DJ246" s="184"/>
      <c r="DK246" s="184"/>
      <c r="DL246" s="184"/>
      <c r="DM246" s="184"/>
      <c r="DN246" s="184"/>
      <c r="DO246" s="184"/>
      <c r="DP246" s="184"/>
      <c r="DQ246" s="184"/>
      <c r="DR246" s="184"/>
      <c r="DS246" s="184"/>
      <c r="DT246" s="184"/>
      <c r="DU246" s="184"/>
      <c r="DV246" s="184"/>
      <c r="DW246" s="184"/>
      <c r="DX246" s="184"/>
      <c r="DY246" s="184"/>
      <c r="DZ246" s="184"/>
      <c r="EA246" s="224"/>
    </row>
    <row r="247" spans="1:131" x14ac:dyDescent="0.2">
      <c r="A247" s="184"/>
      <c r="B247" s="184"/>
      <c r="C247" s="184"/>
      <c r="D247" s="184"/>
      <c r="E247" s="184"/>
      <c r="F247" s="184"/>
      <c r="G247" s="184"/>
      <c r="H247" s="184"/>
      <c r="I247" s="184"/>
      <c r="J247" s="184"/>
      <c r="K247" s="184"/>
      <c r="L247" s="184"/>
      <c r="M247" s="184"/>
      <c r="N247" s="184"/>
      <c r="O247" s="184"/>
      <c r="P247" s="184"/>
      <c r="Q247" s="184"/>
      <c r="R247" s="184"/>
      <c r="S247" s="184"/>
      <c r="T247" s="184"/>
      <c r="U247" s="184"/>
      <c r="V247" s="184"/>
      <c r="W247" s="184"/>
      <c r="X247" s="184"/>
      <c r="Y247" s="184"/>
      <c r="Z247" s="184"/>
      <c r="AA247" s="184"/>
      <c r="AB247" s="184"/>
      <c r="AC247" s="184"/>
      <c r="AD247" s="184"/>
      <c r="AE247" s="184"/>
      <c r="AF247" s="184"/>
      <c r="AG247" s="184"/>
      <c r="AH247" s="184"/>
      <c r="AI247" s="184"/>
      <c r="AJ247" s="184"/>
      <c r="AK247" s="184"/>
      <c r="AL247" s="184"/>
      <c r="AM247" s="184"/>
      <c r="AN247" s="184"/>
      <c r="AO247" s="184"/>
      <c r="AP247" s="184"/>
      <c r="AQ247" s="184"/>
      <c r="AR247" s="184"/>
      <c r="AS247" s="184"/>
      <c r="AT247" s="184"/>
      <c r="AU247" s="184"/>
      <c r="AV247" s="184"/>
      <c r="AW247" s="184"/>
      <c r="AX247" s="184"/>
      <c r="AY247" s="184"/>
      <c r="AZ247" s="184"/>
      <c r="BA247" s="184"/>
      <c r="BB247" s="184"/>
      <c r="BC247" s="184"/>
      <c r="BD247" s="184"/>
      <c r="BE247" s="184"/>
      <c r="BF247" s="184"/>
      <c r="BG247" s="184"/>
      <c r="BH247" s="184"/>
      <c r="BI247" s="184"/>
      <c r="BJ247" s="184"/>
      <c r="BK247" s="184"/>
      <c r="BL247" s="184"/>
      <c r="BM247" s="184"/>
      <c r="BN247" s="184"/>
      <c r="BO247" s="184"/>
      <c r="BP247" s="184"/>
      <c r="BQ247" s="184"/>
      <c r="BR247" s="184"/>
      <c r="BS247" s="184"/>
      <c r="BT247" s="184"/>
      <c r="BU247" s="184"/>
      <c r="BV247" s="184"/>
      <c r="BW247" s="184"/>
      <c r="BX247" s="184"/>
      <c r="BY247" s="184"/>
      <c r="BZ247" s="184"/>
      <c r="CA247" s="184"/>
      <c r="CB247" s="184"/>
      <c r="CC247" s="184"/>
      <c r="CD247" s="184"/>
      <c r="CE247" s="184"/>
      <c r="CF247" s="184"/>
      <c r="CG247" s="184"/>
      <c r="CH247" s="184"/>
      <c r="CI247" s="184"/>
      <c r="CJ247" s="184"/>
      <c r="CK247" s="184"/>
      <c r="CL247" s="184"/>
      <c r="CM247" s="184"/>
      <c r="CN247" s="184"/>
      <c r="CO247" s="184"/>
      <c r="CP247" s="184"/>
      <c r="CQ247" s="184"/>
      <c r="CR247" s="184"/>
      <c r="CS247" s="184"/>
      <c r="CT247" s="184"/>
      <c r="CU247" s="184"/>
      <c r="CV247" s="184"/>
      <c r="CW247" s="184"/>
      <c r="CX247" s="184"/>
      <c r="CY247" s="184"/>
      <c r="CZ247" s="184"/>
      <c r="DA247" s="184"/>
      <c r="DB247" s="184"/>
      <c r="DC247" s="184"/>
      <c r="DD247" s="184"/>
      <c r="DE247" s="184"/>
      <c r="DF247" s="184"/>
      <c r="DG247" s="184"/>
      <c r="DH247" s="184"/>
      <c r="DI247" s="184"/>
      <c r="DJ247" s="184"/>
      <c r="DK247" s="184"/>
      <c r="DL247" s="184"/>
      <c r="DM247" s="184"/>
      <c r="DN247" s="184"/>
      <c r="DO247" s="184"/>
      <c r="DP247" s="184"/>
      <c r="DQ247" s="184"/>
      <c r="DR247" s="184"/>
      <c r="DS247" s="184"/>
      <c r="DT247" s="184"/>
      <c r="DU247" s="184"/>
      <c r="DV247" s="184"/>
      <c r="DW247" s="184"/>
      <c r="DX247" s="184"/>
      <c r="DY247" s="184"/>
      <c r="DZ247" s="184"/>
      <c r="EA247" s="224"/>
    </row>
    <row r="248" spans="1:131" x14ac:dyDescent="0.2">
      <c r="A248" s="184"/>
      <c r="B248" s="184"/>
      <c r="C248" s="184"/>
      <c r="D248" s="184"/>
      <c r="E248" s="184"/>
      <c r="F248" s="184"/>
      <c r="G248" s="184"/>
      <c r="H248" s="184"/>
      <c r="I248" s="184"/>
      <c r="J248" s="184"/>
      <c r="K248" s="184"/>
      <c r="L248" s="184"/>
      <c r="M248" s="184"/>
      <c r="N248" s="184"/>
      <c r="O248" s="184"/>
      <c r="P248" s="184"/>
      <c r="Q248" s="184"/>
      <c r="R248" s="184"/>
      <c r="S248" s="184"/>
      <c r="T248" s="184"/>
      <c r="U248" s="184"/>
      <c r="V248" s="184"/>
      <c r="W248" s="184"/>
      <c r="X248" s="184"/>
      <c r="Y248" s="184"/>
      <c r="Z248" s="184"/>
      <c r="AA248" s="184"/>
      <c r="AB248" s="184"/>
      <c r="AC248" s="184"/>
      <c r="AD248" s="184"/>
      <c r="AE248" s="184"/>
      <c r="AF248" s="184"/>
      <c r="AG248" s="184"/>
      <c r="AH248" s="184"/>
      <c r="AI248" s="184"/>
      <c r="AJ248" s="184"/>
      <c r="AK248" s="184"/>
      <c r="AL248" s="184"/>
      <c r="AM248" s="184"/>
      <c r="AN248" s="184"/>
      <c r="AO248" s="184"/>
      <c r="AP248" s="184"/>
      <c r="AQ248" s="184"/>
      <c r="AR248" s="184"/>
      <c r="AS248" s="184"/>
      <c r="AT248" s="184"/>
      <c r="AU248" s="184"/>
      <c r="AV248" s="184"/>
      <c r="AW248" s="184"/>
      <c r="AX248" s="184"/>
      <c r="AY248" s="184"/>
      <c r="AZ248" s="184"/>
      <c r="BA248" s="184"/>
      <c r="BB248" s="184"/>
      <c r="BC248" s="184"/>
      <c r="BD248" s="184"/>
      <c r="BE248" s="184"/>
      <c r="BF248" s="184"/>
      <c r="BG248" s="184"/>
      <c r="BH248" s="184"/>
      <c r="BI248" s="184"/>
      <c r="BJ248" s="184"/>
      <c r="BK248" s="184"/>
      <c r="BL248" s="184"/>
      <c r="BM248" s="184"/>
      <c r="BN248" s="184"/>
      <c r="BO248" s="184"/>
      <c r="BP248" s="184"/>
      <c r="BQ248" s="184"/>
      <c r="BR248" s="184"/>
      <c r="BS248" s="184"/>
      <c r="BT248" s="184"/>
      <c r="BU248" s="184"/>
      <c r="BV248" s="184"/>
      <c r="BW248" s="184"/>
      <c r="BX248" s="184"/>
      <c r="BY248" s="184"/>
      <c r="BZ248" s="184"/>
      <c r="CA248" s="184"/>
      <c r="CB248" s="184"/>
      <c r="CC248" s="184"/>
      <c r="CD248" s="184"/>
      <c r="CE248" s="184"/>
      <c r="CF248" s="184"/>
      <c r="CG248" s="184"/>
      <c r="CH248" s="184"/>
      <c r="CI248" s="184"/>
      <c r="CJ248" s="184"/>
      <c r="CK248" s="184"/>
      <c r="CL248" s="184"/>
      <c r="CM248" s="184"/>
      <c r="CN248" s="184"/>
      <c r="CO248" s="184"/>
      <c r="CP248" s="184"/>
      <c r="CQ248" s="184"/>
      <c r="CR248" s="184"/>
      <c r="CS248" s="184"/>
      <c r="CT248" s="184"/>
      <c r="CU248" s="184"/>
      <c r="CV248" s="184"/>
      <c r="CW248" s="184"/>
      <c r="CX248" s="184"/>
      <c r="CY248" s="184"/>
      <c r="CZ248" s="184"/>
      <c r="DA248" s="184"/>
      <c r="DB248" s="184"/>
      <c r="DC248" s="184"/>
      <c r="DD248" s="184"/>
      <c r="DE248" s="184"/>
      <c r="DF248" s="184"/>
      <c r="DG248" s="184"/>
      <c r="DH248" s="184"/>
      <c r="DI248" s="184"/>
      <c r="DJ248" s="184"/>
      <c r="DK248" s="184"/>
      <c r="DL248" s="184"/>
      <c r="DM248" s="184"/>
      <c r="DN248" s="184"/>
      <c r="DO248" s="184"/>
      <c r="DP248" s="184"/>
      <c r="DQ248" s="184"/>
      <c r="DR248" s="184"/>
      <c r="DS248" s="184"/>
      <c r="DT248" s="184"/>
      <c r="DU248" s="184"/>
      <c r="DV248" s="184"/>
      <c r="DW248" s="184"/>
      <c r="DX248" s="184"/>
      <c r="DY248" s="184"/>
      <c r="DZ248" s="184"/>
      <c r="EA248" s="224"/>
    </row>
    <row r="249" spans="1:131" x14ac:dyDescent="0.2">
      <c r="A249" s="184"/>
      <c r="B249" s="184"/>
      <c r="C249" s="184"/>
      <c r="D249" s="184"/>
      <c r="E249" s="184"/>
      <c r="F249" s="184"/>
      <c r="G249" s="184"/>
      <c r="H249" s="184"/>
      <c r="I249" s="184"/>
      <c r="J249" s="184"/>
      <c r="K249" s="184"/>
      <c r="L249" s="184"/>
      <c r="M249" s="184"/>
      <c r="N249" s="184"/>
      <c r="O249" s="184"/>
      <c r="P249" s="184"/>
      <c r="Q249" s="184"/>
      <c r="R249" s="184"/>
      <c r="S249" s="184"/>
      <c r="T249" s="184"/>
      <c r="U249" s="184"/>
      <c r="V249" s="184"/>
      <c r="W249" s="184"/>
      <c r="X249" s="184"/>
      <c r="Y249" s="184"/>
      <c r="Z249" s="184"/>
      <c r="AA249" s="184"/>
      <c r="AB249" s="184"/>
      <c r="AC249" s="184"/>
      <c r="AD249" s="184"/>
      <c r="AE249" s="184"/>
      <c r="AF249" s="184"/>
      <c r="AG249" s="184"/>
      <c r="AH249" s="184"/>
      <c r="AI249" s="184"/>
      <c r="AJ249" s="184"/>
      <c r="AK249" s="184"/>
      <c r="AL249" s="184"/>
      <c r="AM249" s="184"/>
      <c r="AN249" s="184"/>
      <c r="AO249" s="184"/>
      <c r="AP249" s="184"/>
      <c r="AQ249" s="184"/>
      <c r="AR249" s="184"/>
      <c r="AS249" s="184"/>
      <c r="AT249" s="184"/>
      <c r="AU249" s="184"/>
      <c r="AV249" s="184"/>
      <c r="AW249" s="184"/>
      <c r="AX249" s="184"/>
      <c r="AY249" s="184"/>
      <c r="AZ249" s="184"/>
      <c r="BA249" s="184"/>
      <c r="BB249" s="184"/>
      <c r="BC249" s="184"/>
      <c r="BD249" s="184"/>
      <c r="BE249" s="184"/>
      <c r="BF249" s="184"/>
      <c r="BG249" s="184"/>
      <c r="BH249" s="184"/>
      <c r="BI249" s="184"/>
      <c r="BJ249" s="184"/>
      <c r="BK249" s="184"/>
      <c r="BL249" s="184"/>
      <c r="BM249" s="184"/>
      <c r="BN249" s="184"/>
      <c r="BO249" s="184"/>
      <c r="BP249" s="184"/>
      <c r="BQ249" s="184"/>
      <c r="BR249" s="184"/>
      <c r="BS249" s="184"/>
      <c r="BT249" s="184"/>
      <c r="BU249" s="184"/>
      <c r="BV249" s="184"/>
      <c r="BW249" s="184"/>
      <c r="BX249" s="184"/>
      <c r="BY249" s="184"/>
      <c r="BZ249" s="184"/>
      <c r="CA249" s="184"/>
      <c r="CB249" s="184"/>
      <c r="CC249" s="184"/>
      <c r="CD249" s="184"/>
      <c r="CE249" s="184"/>
      <c r="CF249" s="184"/>
      <c r="CG249" s="184"/>
      <c r="CH249" s="184"/>
      <c r="CI249" s="184"/>
      <c r="CJ249" s="184"/>
      <c r="CK249" s="184"/>
      <c r="CL249" s="184"/>
      <c r="CM249" s="184"/>
      <c r="CN249" s="184"/>
      <c r="CO249" s="184"/>
      <c r="CP249" s="184"/>
      <c r="CQ249" s="184"/>
      <c r="CR249" s="184"/>
      <c r="CS249" s="184"/>
      <c r="CT249" s="184"/>
      <c r="CU249" s="184"/>
      <c r="CV249" s="184"/>
      <c r="CW249" s="184"/>
      <c r="CX249" s="184"/>
      <c r="CY249" s="184"/>
      <c r="CZ249" s="184"/>
      <c r="DA249" s="184"/>
      <c r="DB249" s="184"/>
      <c r="DC249" s="184"/>
      <c r="DD249" s="184"/>
      <c r="DE249" s="184"/>
      <c r="DF249" s="184"/>
      <c r="DG249" s="184"/>
      <c r="DH249" s="184"/>
      <c r="DI249" s="184"/>
      <c r="DJ249" s="184"/>
      <c r="DK249" s="184"/>
      <c r="DL249" s="184"/>
      <c r="DM249" s="184"/>
      <c r="DN249" s="184"/>
      <c r="DO249" s="184"/>
      <c r="DP249" s="184"/>
      <c r="DQ249" s="184"/>
      <c r="DR249" s="184"/>
      <c r="DS249" s="184"/>
      <c r="DT249" s="184"/>
      <c r="DU249" s="184"/>
      <c r="DV249" s="184"/>
      <c r="DW249" s="184"/>
      <c r="DX249" s="184"/>
      <c r="DY249" s="184"/>
      <c r="DZ249" s="184"/>
      <c r="EA249" s="224"/>
    </row>
    <row r="250" spans="1:131" x14ac:dyDescent="0.2">
      <c r="A250" s="184"/>
      <c r="B250" s="184"/>
      <c r="C250" s="184"/>
      <c r="D250" s="184"/>
      <c r="E250" s="184"/>
      <c r="F250" s="184"/>
      <c r="G250" s="184"/>
      <c r="H250" s="184"/>
      <c r="I250" s="184"/>
      <c r="J250" s="184"/>
      <c r="K250" s="184"/>
      <c r="L250" s="184"/>
      <c r="M250" s="184"/>
      <c r="N250" s="184"/>
      <c r="O250" s="184"/>
      <c r="P250" s="184"/>
      <c r="Q250" s="184"/>
      <c r="R250" s="184"/>
      <c r="S250" s="184"/>
      <c r="T250" s="184"/>
      <c r="U250" s="184"/>
      <c r="V250" s="184"/>
      <c r="W250" s="184"/>
      <c r="X250" s="184"/>
      <c r="Y250" s="184"/>
      <c r="Z250" s="184"/>
      <c r="AA250" s="184"/>
      <c r="AB250" s="184"/>
      <c r="AC250" s="184"/>
      <c r="AD250" s="184"/>
      <c r="AE250" s="184"/>
      <c r="AF250" s="184"/>
      <c r="AG250" s="184"/>
      <c r="AH250" s="184"/>
      <c r="AI250" s="184"/>
      <c r="AJ250" s="184"/>
      <c r="AK250" s="184"/>
      <c r="AL250" s="184"/>
      <c r="AM250" s="184"/>
      <c r="AN250" s="184"/>
      <c r="AO250" s="184"/>
      <c r="AP250" s="184"/>
      <c r="AQ250" s="184"/>
      <c r="AR250" s="184"/>
      <c r="AS250" s="184"/>
      <c r="AT250" s="184"/>
      <c r="AU250" s="184"/>
      <c r="AV250" s="184"/>
      <c r="AW250" s="184"/>
      <c r="AX250" s="184"/>
      <c r="AY250" s="184"/>
      <c r="AZ250" s="184"/>
      <c r="BA250" s="184"/>
      <c r="BB250" s="184"/>
      <c r="BC250" s="184"/>
      <c r="BD250" s="184"/>
      <c r="BE250" s="184"/>
      <c r="BF250" s="184"/>
      <c r="BG250" s="184"/>
      <c r="BH250" s="184"/>
      <c r="BI250" s="184"/>
      <c r="BJ250" s="184"/>
      <c r="BK250" s="184"/>
      <c r="BL250" s="184"/>
      <c r="BM250" s="184"/>
      <c r="BN250" s="184"/>
      <c r="BO250" s="184"/>
      <c r="BP250" s="184"/>
      <c r="BQ250" s="184"/>
      <c r="BR250" s="184"/>
      <c r="BS250" s="184"/>
      <c r="BT250" s="184"/>
      <c r="BU250" s="184"/>
      <c r="BV250" s="184"/>
      <c r="BW250" s="184"/>
      <c r="BX250" s="184"/>
      <c r="BY250" s="184"/>
      <c r="BZ250" s="184"/>
      <c r="CA250" s="184"/>
      <c r="CB250" s="184"/>
      <c r="CC250" s="184"/>
      <c r="CD250" s="184"/>
      <c r="CE250" s="184"/>
      <c r="CF250" s="184"/>
      <c r="CG250" s="184"/>
      <c r="CH250" s="184"/>
      <c r="CI250" s="184"/>
      <c r="CJ250" s="184"/>
      <c r="CK250" s="184"/>
      <c r="CL250" s="184"/>
      <c r="CM250" s="184"/>
      <c r="CN250" s="184"/>
      <c r="CO250" s="184"/>
      <c r="CP250" s="184"/>
      <c r="CQ250" s="184"/>
      <c r="CR250" s="184"/>
      <c r="CS250" s="184"/>
      <c r="CT250" s="184"/>
      <c r="CU250" s="184"/>
      <c r="CV250" s="184"/>
      <c r="CW250" s="184"/>
      <c r="CX250" s="184"/>
      <c r="CY250" s="184"/>
      <c r="CZ250" s="184"/>
      <c r="DA250" s="184"/>
      <c r="DB250" s="184"/>
      <c r="DC250" s="184"/>
      <c r="DD250" s="184"/>
      <c r="DE250" s="184"/>
      <c r="DF250" s="184"/>
      <c r="DG250" s="184"/>
      <c r="DH250" s="184"/>
      <c r="DI250" s="184"/>
      <c r="DJ250" s="184"/>
      <c r="DK250" s="184"/>
      <c r="DL250" s="184"/>
      <c r="DM250" s="184"/>
      <c r="DN250" s="184"/>
      <c r="DO250" s="184"/>
      <c r="DP250" s="184"/>
      <c r="DQ250" s="184"/>
      <c r="DR250" s="184"/>
      <c r="DS250" s="184"/>
      <c r="DT250" s="184"/>
      <c r="DU250" s="184"/>
      <c r="DV250" s="184"/>
      <c r="DW250" s="184"/>
      <c r="DX250" s="184"/>
      <c r="DY250" s="184"/>
      <c r="DZ250" s="184"/>
      <c r="EA250" s="224"/>
    </row>
    <row r="251" spans="1:131" x14ac:dyDescent="0.2">
      <c r="A251" s="184"/>
      <c r="B251" s="184"/>
      <c r="C251" s="184"/>
      <c r="D251" s="184"/>
      <c r="E251" s="184"/>
      <c r="F251" s="184"/>
      <c r="G251" s="184"/>
      <c r="H251" s="184"/>
      <c r="I251" s="184"/>
      <c r="J251" s="184"/>
      <c r="K251" s="184"/>
      <c r="L251" s="184"/>
      <c r="M251" s="184"/>
      <c r="N251" s="184"/>
      <c r="O251" s="184"/>
      <c r="P251" s="184"/>
      <c r="Q251" s="184"/>
      <c r="R251" s="184"/>
      <c r="S251" s="184"/>
      <c r="T251" s="184"/>
      <c r="U251" s="184"/>
      <c r="V251" s="184"/>
      <c r="W251" s="184"/>
      <c r="X251" s="184"/>
      <c r="Y251" s="184"/>
      <c r="Z251" s="184"/>
      <c r="AA251" s="184"/>
      <c r="AB251" s="184"/>
      <c r="AC251" s="184"/>
      <c r="AD251" s="184"/>
      <c r="AE251" s="184"/>
      <c r="AF251" s="184"/>
      <c r="AG251" s="184"/>
      <c r="AH251" s="184"/>
      <c r="AI251" s="184"/>
      <c r="AJ251" s="184"/>
      <c r="AK251" s="184"/>
      <c r="AL251" s="184"/>
      <c r="AM251" s="184"/>
      <c r="AN251" s="184"/>
      <c r="AO251" s="184"/>
      <c r="AP251" s="184"/>
      <c r="AQ251" s="184"/>
      <c r="AR251" s="184"/>
      <c r="AS251" s="184"/>
      <c r="AT251" s="184"/>
      <c r="AU251" s="184"/>
      <c r="AV251" s="184"/>
      <c r="AW251" s="184"/>
      <c r="AX251" s="184"/>
      <c r="AY251" s="184"/>
      <c r="AZ251" s="184"/>
      <c r="BA251" s="184"/>
      <c r="BB251" s="184"/>
      <c r="BC251" s="184"/>
      <c r="BD251" s="184"/>
      <c r="BE251" s="184"/>
      <c r="BF251" s="184"/>
      <c r="BG251" s="184"/>
      <c r="BH251" s="184"/>
      <c r="BI251" s="184"/>
      <c r="BJ251" s="184"/>
      <c r="BK251" s="184"/>
      <c r="BL251" s="184"/>
      <c r="BM251" s="184"/>
      <c r="BN251" s="184"/>
      <c r="BO251" s="184"/>
      <c r="BP251" s="184"/>
      <c r="BQ251" s="184"/>
      <c r="BR251" s="184"/>
      <c r="BS251" s="184"/>
      <c r="BT251" s="184"/>
      <c r="BU251" s="184"/>
      <c r="BV251" s="184"/>
      <c r="BW251" s="184"/>
      <c r="BX251" s="184"/>
      <c r="BY251" s="184"/>
      <c r="BZ251" s="184"/>
      <c r="CA251" s="184"/>
      <c r="CB251" s="184"/>
      <c r="CC251" s="184"/>
      <c r="CD251" s="184"/>
      <c r="CE251" s="184"/>
      <c r="CF251" s="184"/>
      <c r="CG251" s="184"/>
      <c r="CH251" s="184"/>
      <c r="CI251" s="184"/>
      <c r="CJ251" s="184"/>
      <c r="CK251" s="184"/>
      <c r="CL251" s="184"/>
      <c r="CM251" s="184"/>
      <c r="CN251" s="184"/>
      <c r="CO251" s="184"/>
      <c r="CP251" s="184"/>
      <c r="CQ251" s="184"/>
      <c r="CR251" s="184"/>
      <c r="CS251" s="184"/>
      <c r="CT251" s="184"/>
      <c r="CU251" s="184"/>
      <c r="CV251" s="184"/>
      <c r="CW251" s="184"/>
      <c r="CX251" s="184"/>
      <c r="CY251" s="184"/>
      <c r="CZ251" s="184"/>
      <c r="DA251" s="184"/>
      <c r="DB251" s="184"/>
      <c r="DC251" s="184"/>
      <c r="DD251" s="184"/>
      <c r="DE251" s="184"/>
      <c r="DF251" s="184"/>
      <c r="DG251" s="184"/>
      <c r="DH251" s="184"/>
      <c r="DI251" s="184"/>
      <c r="DJ251" s="184"/>
      <c r="DK251" s="184"/>
      <c r="DL251" s="184"/>
      <c r="DM251" s="184"/>
      <c r="DN251" s="184"/>
      <c r="DO251" s="184"/>
      <c r="DP251" s="184"/>
      <c r="DQ251" s="184"/>
      <c r="DR251" s="184"/>
      <c r="DS251" s="184"/>
      <c r="DT251" s="184"/>
      <c r="DU251" s="184"/>
      <c r="DV251" s="184"/>
      <c r="DW251" s="184"/>
      <c r="DX251" s="184"/>
      <c r="DY251" s="184"/>
      <c r="DZ251" s="184"/>
      <c r="EA251" s="224"/>
    </row>
    <row r="252" spans="1:131" x14ac:dyDescent="0.2">
      <c r="A252" s="184"/>
      <c r="B252" s="184"/>
      <c r="C252" s="184"/>
      <c r="D252" s="184"/>
      <c r="E252" s="184"/>
      <c r="F252" s="184"/>
      <c r="G252" s="184"/>
      <c r="H252" s="184"/>
      <c r="I252" s="184"/>
      <c r="J252" s="184"/>
      <c r="K252" s="184"/>
      <c r="L252" s="184"/>
      <c r="M252" s="184"/>
      <c r="N252" s="184"/>
      <c r="O252" s="184"/>
      <c r="P252" s="184"/>
      <c r="Q252" s="184"/>
      <c r="R252" s="184"/>
      <c r="S252" s="184"/>
      <c r="T252" s="184"/>
      <c r="U252" s="184"/>
      <c r="V252" s="184"/>
      <c r="W252" s="184"/>
      <c r="X252" s="184"/>
      <c r="Y252" s="184"/>
      <c r="Z252" s="184"/>
      <c r="AA252" s="184"/>
      <c r="AB252" s="184"/>
      <c r="AC252" s="184"/>
      <c r="AD252" s="184"/>
      <c r="AE252" s="184"/>
      <c r="AF252" s="184"/>
      <c r="AG252" s="184"/>
      <c r="AH252" s="184"/>
      <c r="AI252" s="184"/>
      <c r="AJ252" s="184"/>
      <c r="AK252" s="184"/>
      <c r="AL252" s="184"/>
      <c r="AM252" s="184"/>
      <c r="AN252" s="184"/>
      <c r="AO252" s="184"/>
      <c r="AP252" s="184"/>
      <c r="AQ252" s="184"/>
      <c r="AR252" s="184"/>
      <c r="AS252" s="184"/>
      <c r="AT252" s="184"/>
      <c r="AU252" s="184"/>
      <c r="AV252" s="184"/>
      <c r="AW252" s="184"/>
      <c r="AX252" s="184"/>
      <c r="AY252" s="184"/>
      <c r="AZ252" s="184"/>
      <c r="BA252" s="184"/>
      <c r="BB252" s="184"/>
      <c r="BC252" s="184"/>
      <c r="BD252" s="184"/>
      <c r="BE252" s="184"/>
      <c r="BF252" s="184"/>
      <c r="BG252" s="184"/>
      <c r="BH252" s="184"/>
      <c r="BI252" s="184"/>
      <c r="BJ252" s="184"/>
      <c r="BK252" s="184"/>
      <c r="BL252" s="184"/>
      <c r="BM252" s="184"/>
      <c r="BN252" s="184"/>
      <c r="BO252" s="184"/>
      <c r="BP252" s="184"/>
      <c r="BQ252" s="184"/>
      <c r="BR252" s="184"/>
      <c r="BS252" s="184"/>
      <c r="BT252" s="184"/>
      <c r="BU252" s="184"/>
      <c r="BV252" s="184"/>
      <c r="BW252" s="184"/>
      <c r="BX252" s="184"/>
      <c r="BY252" s="184"/>
      <c r="BZ252" s="184"/>
      <c r="CA252" s="184"/>
      <c r="CB252" s="184"/>
      <c r="CC252" s="184"/>
      <c r="CD252" s="184"/>
      <c r="CE252" s="184"/>
      <c r="CF252" s="184"/>
      <c r="CG252" s="184"/>
      <c r="CH252" s="184"/>
      <c r="CI252" s="184"/>
      <c r="CJ252" s="184"/>
      <c r="CK252" s="184"/>
      <c r="CL252" s="184"/>
      <c r="CM252" s="184"/>
      <c r="CN252" s="184"/>
      <c r="CO252" s="184"/>
      <c r="CP252" s="184"/>
      <c r="CQ252" s="184"/>
      <c r="CR252" s="184"/>
      <c r="CS252" s="184"/>
      <c r="CT252" s="184"/>
      <c r="CU252" s="184"/>
      <c r="CV252" s="184"/>
      <c r="CW252" s="184"/>
      <c r="CX252" s="184"/>
      <c r="CY252" s="184"/>
      <c r="CZ252" s="184"/>
      <c r="DA252" s="184"/>
      <c r="DB252" s="184"/>
      <c r="DC252" s="184"/>
      <c r="DD252" s="184"/>
      <c r="DE252" s="184"/>
      <c r="DF252" s="184"/>
      <c r="DG252" s="184"/>
      <c r="DH252" s="184"/>
      <c r="DI252" s="184"/>
      <c r="DJ252" s="184"/>
      <c r="DK252" s="184"/>
      <c r="DL252" s="184"/>
      <c r="DM252" s="184"/>
      <c r="DN252" s="184"/>
      <c r="DO252" s="184"/>
      <c r="DP252" s="184"/>
      <c r="DQ252" s="184"/>
      <c r="DR252" s="184"/>
      <c r="DS252" s="184"/>
      <c r="DT252" s="184"/>
      <c r="DU252" s="184"/>
      <c r="DV252" s="184"/>
      <c r="DW252" s="184"/>
      <c r="DX252" s="184"/>
      <c r="DY252" s="184"/>
      <c r="DZ252" s="184"/>
      <c r="EA252" s="224"/>
    </row>
  </sheetData>
  <sheetProtection sheet="1" selectLockedCells="1"/>
  <mergeCells count="105">
    <mergeCell ref="B2:BY3"/>
    <mergeCell ref="CA54:CF54"/>
    <mergeCell ref="CA66:CF66"/>
    <mergeCell ref="CA68:CF68"/>
    <mergeCell ref="CA58:CS58"/>
    <mergeCell ref="CA56:CF56"/>
    <mergeCell ref="CA62:CF62"/>
    <mergeCell ref="CA60:CF60"/>
    <mergeCell ref="BP52:BV52"/>
    <mergeCell ref="AG52:AQ52"/>
    <mergeCell ref="BW68:BY68"/>
    <mergeCell ref="B30:AF30"/>
    <mergeCell ref="B6:BY6"/>
    <mergeCell ref="B20:BY20"/>
    <mergeCell ref="B10:AJ10"/>
    <mergeCell ref="AO10:BF10"/>
    <mergeCell ref="AO14:BF14"/>
    <mergeCell ref="B18:Y18"/>
    <mergeCell ref="BJ10:BW10"/>
    <mergeCell ref="BQ18:BW18"/>
    <mergeCell ref="AA18:BO18"/>
    <mergeCell ref="AG24:AQ24"/>
    <mergeCell ref="AG26:AQ26"/>
    <mergeCell ref="AG36:AQ36"/>
    <mergeCell ref="Y200:AE200"/>
    <mergeCell ref="BC200:BI200"/>
    <mergeCell ref="Y177:AE177"/>
    <mergeCell ref="Y179:AE179"/>
    <mergeCell ref="BC177:BI177"/>
    <mergeCell ref="BC179:BI179"/>
    <mergeCell ref="Y190:AE190"/>
    <mergeCell ref="BC190:BI190"/>
    <mergeCell ref="Y192:AE192"/>
    <mergeCell ref="BC192:BI192"/>
    <mergeCell ref="Y198:AE198"/>
    <mergeCell ref="BC198:BI198"/>
    <mergeCell ref="H107:J107"/>
    <mergeCell ref="B74:BY74"/>
    <mergeCell ref="P84:V84"/>
    <mergeCell ref="H96:J96"/>
    <mergeCell ref="H104:J104"/>
    <mergeCell ref="AG70:AQ70"/>
    <mergeCell ref="AG40:AQ40"/>
    <mergeCell ref="S64:AE64"/>
    <mergeCell ref="S66:AE66"/>
    <mergeCell ref="AG64:AQ64"/>
    <mergeCell ref="AG66:AQ66"/>
    <mergeCell ref="AG60:AQ60"/>
    <mergeCell ref="AG62:AQ62"/>
    <mergeCell ref="AG48:AQ48"/>
    <mergeCell ref="AG68:AQ68"/>
    <mergeCell ref="AG44:AQ44"/>
    <mergeCell ref="AG56:AQ56"/>
    <mergeCell ref="AG50:AQ50"/>
    <mergeCell ref="Q50:AF51"/>
    <mergeCell ref="AG46:BD46"/>
    <mergeCell ref="AG42:AQ42"/>
    <mergeCell ref="BC84:BJ84"/>
    <mergeCell ref="BP72:BV72"/>
    <mergeCell ref="BM90:BW90"/>
    <mergeCell ref="H123:J123"/>
    <mergeCell ref="H127:J127"/>
    <mergeCell ref="H144:J144"/>
    <mergeCell ref="BB116:BL116"/>
    <mergeCell ref="BB114:BL114"/>
    <mergeCell ref="BB119:BL119"/>
    <mergeCell ref="N123:BS123"/>
    <mergeCell ref="BB135:BL135"/>
    <mergeCell ref="BB139:BL139"/>
    <mergeCell ref="BO86:BW86"/>
    <mergeCell ref="AB86:AJ86"/>
    <mergeCell ref="Z78:AJ78"/>
    <mergeCell ref="BW156:BY157"/>
    <mergeCell ref="Y171:AE171"/>
    <mergeCell ref="BC171:BI171"/>
    <mergeCell ref="BC169:BI169"/>
    <mergeCell ref="BB149:BL149"/>
    <mergeCell ref="BB155:BL155"/>
    <mergeCell ref="BB153:BL153"/>
    <mergeCell ref="Y169:AE169"/>
    <mergeCell ref="Z80:AJ80"/>
    <mergeCell ref="Z76:AJ76"/>
    <mergeCell ref="Z82:AJ82"/>
    <mergeCell ref="AG72:AQ72"/>
    <mergeCell ref="Z90:AJ90"/>
    <mergeCell ref="Z92:AJ92"/>
    <mergeCell ref="AC14:AJ14"/>
    <mergeCell ref="B14:AA14"/>
    <mergeCell ref="BW70:BY70"/>
    <mergeCell ref="BW72:BY72"/>
    <mergeCell ref="BW50:BY50"/>
    <mergeCell ref="BW52:BY52"/>
    <mergeCell ref="BO24:BY24"/>
    <mergeCell ref="BW26:BY26"/>
    <mergeCell ref="BW40:BY40"/>
    <mergeCell ref="BO22:BY23"/>
    <mergeCell ref="BP70:BV70"/>
    <mergeCell ref="BP68:BV68"/>
    <mergeCell ref="BO26:BV26"/>
    <mergeCell ref="BO40:BV40"/>
    <mergeCell ref="BP50:BV50"/>
    <mergeCell ref="AG30:AQ30"/>
    <mergeCell ref="AG32:AQ32"/>
    <mergeCell ref="AG28:AQ28"/>
    <mergeCell ref="AG38:AQ38"/>
  </mergeCells>
  <conditionalFormatting sqref="BB116:BL116 Z115:AJ115 Z119:AJ121">
    <cfRule type="expression" dxfId="148" priority="81">
      <formula>$BB$116&gt;$BB$114</formula>
    </cfRule>
  </conditionalFormatting>
  <conditionalFormatting sqref="BN116">
    <cfRule type="expression" dxfId="147" priority="63">
      <formula>$BB$116&gt;$BB$114</formula>
    </cfRule>
  </conditionalFormatting>
  <conditionalFormatting sqref="L119">
    <cfRule type="expression" dxfId="146" priority="59">
      <formula>$L$119="Überschreitung der Gesamtangemessenheitsgrenze"</formula>
    </cfRule>
  </conditionalFormatting>
  <conditionalFormatting sqref="N96">
    <cfRule type="expression" dxfId="145" priority="56">
      <formula>$N$96="Die Wohnung ist überbelegt i. S. d. § 2 Nr. 5a NWoSchG, da die Mindestwohnfläche"</formula>
    </cfRule>
  </conditionalFormatting>
  <conditionalFormatting sqref="N98">
    <cfRule type="expression" dxfId="144" priority="55">
      <formula>$N$96="von 10 m² pro Person unterschritten wird."</formula>
    </cfRule>
  </conditionalFormatting>
  <conditionalFormatting sqref="N97">
    <cfRule type="expression" dxfId="143" priority="54">
      <formula>$N$97="von 10 m² pro Person unterschritten wird."</formula>
    </cfRule>
  </conditionalFormatting>
  <conditionalFormatting sqref="N107">
    <cfRule type="expression" dxfId="142" priority="52">
      <formula>$N$107="Ergänzung:"</formula>
    </cfRule>
    <cfRule type="expression" dxfId="141" priority="53">
      <formula>$N$107="Heizkosten"</formula>
    </cfRule>
  </conditionalFormatting>
  <conditionalFormatting sqref="W107">
    <cfRule type="expression" dxfId="140" priority="51">
      <formula>$W$107="sind unangemessen. In Bestandsfällen: Prüfung der Gesamt-"</formula>
    </cfRule>
  </conditionalFormatting>
  <conditionalFormatting sqref="N108">
    <cfRule type="expression" dxfId="139" priority="50">
      <formula>$N$108="angemesse"</formula>
    </cfRule>
  </conditionalFormatting>
  <conditionalFormatting sqref="W108">
    <cfRule type="expression" dxfId="138" priority="49">
      <formula>$W$108="nheitsgrenze, wenn die KdU angemessen sind."</formula>
    </cfRule>
  </conditionalFormatting>
  <conditionalFormatting sqref="BD70">
    <cfRule type="expression" dxfId="137" priority="43">
      <formula>$BD$70="[comp.ASS Eingabe ''Nebenkosten'']"</formula>
    </cfRule>
    <cfRule type="expression" dxfId="136" priority="44">
      <formula>$BD$70=(Pflichtfeld)</formula>
    </cfRule>
  </conditionalFormatting>
  <conditionalFormatting sqref="BM90:BW91 BX90">
    <cfRule type="expression" dxfId="135" priority="82">
      <formula>$BM$90&gt;$BO$86</formula>
    </cfRule>
  </conditionalFormatting>
  <conditionalFormatting sqref="Z90:AJ91 AK90">
    <cfRule type="expression" dxfId="134" priority="83">
      <formula>$Z$90&gt;$AB$86</formula>
    </cfRule>
  </conditionalFormatting>
  <pageMargins left="0.7" right="0.7" top="0.78740157499999996" bottom="0.78740157499999996" header="0.3" footer="0.3"/>
  <pageSetup paperSize="9" orientation="portrait" r:id="rId1"/>
  <ignoredErrors>
    <ignoredError sqref="AB86 BO86 BB153 BB149" evalError="1"/>
    <ignoredError sqref="AG3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1" id="{3FE4BB85-E773-4B20-9363-6A59B1048196}">
            <xm:f>Daten!J79&gt;0</xm:f>
            <x14:dxf>
              <fill>
                <patternFill>
                  <bgColor rgb="FFFFC000"/>
                </patternFill>
              </fill>
            </x14:dxf>
          </x14:cfRule>
          <xm:sqref>C30 E30:H30 J30:AF30</xm:sqref>
        </x14:conditionalFormatting>
        <x14:conditionalFormatting xmlns:xm="http://schemas.microsoft.com/office/excel/2006/main">
          <x14:cfRule type="expression" priority="47" id="{8EAA9799-ACFC-4F7A-BFFA-E8D1B9393479}">
            <xm:f>Daten!$E$528=0</xm:f>
            <x14:dxf>
              <font>
                <color theme="9" tint="-0.24994659260841701"/>
              </font>
            </x14:dxf>
          </x14:cfRule>
          <xm:sqref>L119</xm:sqref>
        </x14:conditionalFormatting>
        <x14:conditionalFormatting xmlns:xm="http://schemas.microsoft.com/office/excel/2006/main">
          <x14:cfRule type="expression" priority="46" id="{5BCB7FA3-EDE1-4D48-AAC4-DA50D3507022}">
            <xm:f>Daten!$E$528=0</xm:f>
            <x14:dxf>
              <font>
                <color theme="9" tint="-0.24994659260841701"/>
              </font>
            </x14:dxf>
          </x14:cfRule>
          <x14:cfRule type="expression" priority="64" id="{D12DA332-0C01-4A30-85F8-2C43B9E85324}">
            <xm:f>Daten!$E$528=1</xm:f>
            <x14:dxf>
              <font>
                <color rgb="FFFF0000"/>
              </font>
            </x14:dxf>
          </x14:cfRule>
          <xm:sqref>BB119:BL119</xm:sqref>
        </x14:conditionalFormatting>
        <x14:conditionalFormatting xmlns:xm="http://schemas.microsoft.com/office/excel/2006/main">
          <x14:cfRule type="expression" priority="45" id="{D1E20DC3-990C-4076-8596-081C92F0C552}">
            <xm:f>Daten!$E$528=0</xm:f>
            <x14:dxf>
              <font>
                <color theme="9" tint="-0.24994659260841701"/>
              </font>
            </x14:dxf>
          </x14:cfRule>
          <x14:cfRule type="expression" priority="62" id="{E19D13FD-5AAE-4E58-9E43-5543D7D0467B}">
            <xm:f>Daten!$E$528=1</xm:f>
            <x14:dxf>
              <font>
                <color rgb="FFFF0000"/>
              </font>
            </x14:dxf>
          </x14:cfRule>
          <xm:sqref>BN119</xm:sqref>
        </x14:conditionalFormatting>
        <x14:conditionalFormatting xmlns:xm="http://schemas.microsoft.com/office/excel/2006/main">
          <x14:cfRule type="expression" priority="48" id="{2709A448-4C9E-4BEF-819B-FADA5D4D9FA4}">
            <xm:f>Daten!$C$356=1</xm:f>
            <x14:dxf>
              <border>
                <left style="thin">
                  <color auto="1"/>
                </left>
                <right style="thin">
                  <color auto="1"/>
                </right>
                <top style="thin">
                  <color auto="1"/>
                </top>
                <bottom style="thin">
                  <color auto="1"/>
                </bottom>
                <vertical/>
                <horizontal/>
              </border>
            </x14:dxf>
          </x14:cfRule>
          <xm:sqref>H107:J107</xm:sqref>
        </x14:conditionalFormatting>
        <x14:conditionalFormatting xmlns:xm="http://schemas.microsoft.com/office/excel/2006/main">
          <x14:cfRule type="expression" priority="41" id="{F0D81FFD-30C5-438B-8525-85ADF6B21CDA}">
            <xm:f>Daten!$D$61=0</xm:f>
            <x14:dxf>
              <font>
                <color rgb="FFFF0000"/>
              </font>
            </x14:dxf>
          </x14:cfRule>
          <xm:sqref>BD70</xm:sqref>
        </x14:conditionalFormatting>
        <x14:conditionalFormatting xmlns:xm="http://schemas.microsoft.com/office/excel/2006/main">
          <x14:cfRule type="expression" priority="33" id="{83628D54-1592-4136-8CEF-1CBD8E4BFC55}">
            <xm:f>Daten!$E$528=0</xm:f>
            <x14:dxf>
              <fill>
                <patternFill>
                  <bgColor theme="0"/>
                </patternFill>
              </fill>
              <border>
                <left/>
                <right/>
                <top/>
                <bottom/>
                <vertical/>
                <horizontal/>
              </border>
            </x14:dxf>
          </x14:cfRule>
          <xm:sqref>G187:AG193</xm:sqref>
        </x14:conditionalFormatting>
        <x14:conditionalFormatting xmlns:xm="http://schemas.microsoft.com/office/excel/2006/main">
          <x14:cfRule type="expression" priority="26" id="{D65920AD-86E9-4B88-A434-F84428CD91CE}">
            <xm:f>Daten!$B$545=0</xm:f>
            <x14:dxf>
              <font>
                <color theme="0" tint="-0.499984740745262"/>
              </font>
            </x14:dxf>
          </x14:cfRule>
          <x14:cfRule type="expression" priority="31" id="{2906B14D-ACAE-48E3-933B-2BB5A879E1A9}">
            <xm:f>Daten!$E$528=0</xm:f>
            <x14:dxf>
              <fill>
                <patternFill>
                  <bgColor theme="0"/>
                </patternFill>
              </fill>
              <border>
                <left/>
                <right/>
                <top/>
                <bottom/>
                <vertical/>
                <horizontal/>
              </border>
            </x14:dxf>
          </x14:cfRule>
          <xm:sqref>AK195:BK201</xm:sqref>
        </x14:conditionalFormatting>
        <x14:conditionalFormatting xmlns:xm="http://schemas.microsoft.com/office/excel/2006/main">
          <x14:cfRule type="expression" priority="29" id="{AFEF0F66-7FEF-45F8-9F69-EA4BC135D8D8}">
            <xm:f>Daten!$B$543=0</xm:f>
            <x14:dxf>
              <font>
                <color theme="0" tint="-0.499984740745262"/>
              </font>
            </x14:dxf>
          </x14:cfRule>
          <xm:sqref>G174:AG180</xm:sqref>
        </x14:conditionalFormatting>
        <x14:conditionalFormatting xmlns:xm="http://schemas.microsoft.com/office/excel/2006/main">
          <x14:cfRule type="expression" priority="28" id="{8DCC0EDC-9B95-4897-ACDC-3306590EC9B9}">
            <xm:f>Daten!$B$544=0</xm:f>
            <x14:dxf>
              <font>
                <color theme="0" tint="-0.499984740745262"/>
              </font>
            </x14:dxf>
          </x14:cfRule>
          <xm:sqref>AK166:BK172</xm:sqref>
        </x14:conditionalFormatting>
        <x14:conditionalFormatting xmlns:xm="http://schemas.microsoft.com/office/excel/2006/main">
          <x14:cfRule type="expression" priority="27" id="{B7FD717F-C66D-4571-9362-507B08E28F96}">
            <xm:f>Daten!$B$545=0</xm:f>
            <x14:dxf>
              <font>
                <color theme="0" tint="-0.499984740745262"/>
              </font>
            </x14:dxf>
          </x14:cfRule>
          <xm:sqref>AK174:BK180</xm:sqref>
        </x14:conditionalFormatting>
        <x14:conditionalFormatting xmlns:xm="http://schemas.microsoft.com/office/excel/2006/main">
          <x14:cfRule type="expression" priority="84" id="{39364A07-8F19-4982-9459-284E770E18C6}">
            <xm:f>Daten!$B$544=0</xm:f>
            <x14:dxf>
              <font>
                <color theme="0" tint="-0.499984740745262"/>
              </font>
            </x14:dxf>
          </x14:cfRule>
          <x14:cfRule type="expression" priority="85" id="{8F56C0FF-83E4-43B1-BB91-D52ADB0EFA26}">
            <xm:f>Daten!$E$528=0</xm:f>
            <x14:dxf>
              <fill>
                <patternFill>
                  <bgColor theme="0"/>
                </patternFill>
              </fill>
              <border>
                <left/>
                <right/>
                <top/>
                <bottom/>
                <vertical/>
                <horizontal/>
              </border>
            </x14:dxf>
          </x14:cfRule>
          <xm:sqref>AK187:BK193</xm:sqref>
        </x14:conditionalFormatting>
        <x14:conditionalFormatting xmlns:xm="http://schemas.microsoft.com/office/excel/2006/main">
          <x14:cfRule type="expression" priority="86" id="{D65920AD-86E9-4B88-A434-F84428CD91CE}">
            <xm:f>Daten!$B$543=0</xm:f>
            <x14:dxf>
              <font>
                <color theme="0" tint="-0.499984740745262"/>
              </font>
            </x14:dxf>
          </x14:cfRule>
          <x14:cfRule type="expression" priority="87" id="{2906B14D-ACAE-48E3-933B-2BB5A879E1A9}">
            <xm:f>Daten!$E$528=0</xm:f>
            <x14:dxf>
              <fill>
                <patternFill>
                  <bgColor theme="0"/>
                </patternFill>
              </fill>
              <border>
                <left/>
                <right/>
                <top/>
                <bottom/>
                <vertical/>
                <horizontal/>
              </border>
            </x14:dxf>
          </x14:cfRule>
          <xm:sqref>G195:AG201</xm:sqref>
        </x14:conditionalFormatting>
        <x14:conditionalFormatting xmlns:xm="http://schemas.microsoft.com/office/excel/2006/main">
          <x14:cfRule type="expression" priority="22" id="{91EA0388-6A55-48BD-97B8-C1A75245F24A}">
            <xm:f>Daten!$C$161=1</xm:f>
            <x14:dxf>
              <font>
                <color auto="1"/>
              </font>
            </x14:dxf>
          </x14:cfRule>
          <xm:sqref>B50</xm:sqref>
        </x14:conditionalFormatting>
        <x14:conditionalFormatting xmlns:xm="http://schemas.microsoft.com/office/excel/2006/main">
          <x14:cfRule type="expression" priority="21" id="{F92460A5-3E88-4EC3-B3CC-22A7E5DD757B}">
            <xm:f>Daten!$C$161=2</xm:f>
            <x14:dxf>
              <font>
                <color auto="1"/>
              </font>
            </x14:dxf>
          </x14:cfRule>
          <xm:sqref>B52</xm:sqref>
        </x14:conditionalFormatting>
        <x14:conditionalFormatting xmlns:xm="http://schemas.microsoft.com/office/excel/2006/main">
          <x14:cfRule type="expression" priority="1" id="{2FC1B539-03B1-4B6F-A0D8-52DB6F2B0984}">
            <xm:f>Daten!$C$161=1</xm:f>
            <x14:dxf>
              <fill>
                <patternFill patternType="lightHorizontal"/>
              </fill>
            </x14:dxf>
          </x14:cfRule>
          <x14:cfRule type="expression" priority="20" id="{672B17EE-C8F4-45DF-BFF6-B92DE8D9ED33}">
            <xm:f>Daten!$C$161=2</xm:f>
            <x14:dxf>
              <font>
                <color auto="1"/>
              </font>
              <fill>
                <patternFill>
                  <bgColor rgb="FFFFFF66"/>
                </patternFill>
              </fill>
              <border>
                <left style="thin">
                  <color auto="1"/>
                </left>
                <right style="thin">
                  <color auto="1"/>
                </right>
                <top style="thin">
                  <color auto="1"/>
                </top>
                <bottom style="thin">
                  <color auto="1"/>
                </bottom>
              </border>
            </x14:dxf>
          </x14:cfRule>
          <xm:sqref>AG52:AQ52</xm:sqref>
        </x14:conditionalFormatting>
        <x14:conditionalFormatting xmlns:xm="http://schemas.microsoft.com/office/excel/2006/main">
          <x14:cfRule type="expression" priority="19" id="{59BE052C-5404-4ACE-B52D-44E6DDC1784B}">
            <xm:f>Daten!$C$161=2</xm:f>
            <x14:dxf>
              <font>
                <color auto="1"/>
              </font>
            </x14:dxf>
          </x14:cfRule>
          <xm:sqref>AS52</xm:sqref>
        </x14:conditionalFormatting>
        <x14:conditionalFormatting xmlns:xm="http://schemas.microsoft.com/office/excel/2006/main">
          <x14:cfRule type="expression" priority="2" id="{526F35DF-3F00-4892-A35B-072AAA3E2A80}">
            <xm:f>Daten!$C$161=2</xm:f>
            <x14:dxf>
              <fill>
                <patternFill patternType="lightHorizontal">
                  <fgColor auto="1"/>
                </patternFill>
              </fill>
              <border>
                <vertical/>
                <horizontal/>
              </border>
            </x14:dxf>
          </x14:cfRule>
          <x14:cfRule type="expression" priority="18" id="{85E4434F-1F6C-4CB6-98FD-514982C856B2}">
            <xm:f>Daten!$C$161=1</xm:f>
            <x14:dxf>
              <font>
                <color auto="1"/>
              </font>
              <fill>
                <patternFill>
                  <bgColor theme="0"/>
                </patternFill>
              </fill>
              <border>
                <left style="thin">
                  <color auto="1"/>
                </left>
                <right style="thin">
                  <color auto="1"/>
                </right>
                <top style="thin">
                  <color auto="1"/>
                </top>
                <bottom style="thin">
                  <color auto="1"/>
                </bottom>
                <vertical/>
                <horizontal/>
              </border>
            </x14:dxf>
          </x14:cfRule>
          <xm:sqref>AG50:AQ50</xm:sqref>
        </x14:conditionalFormatting>
        <x14:conditionalFormatting xmlns:xm="http://schemas.microsoft.com/office/excel/2006/main">
          <x14:cfRule type="expression" priority="17" id="{10034190-524B-4C75-9765-572CD72A88FB}">
            <xm:f>Daten!$C$161=1</xm:f>
            <x14:dxf>
              <font>
                <color auto="1"/>
              </font>
            </x14:dxf>
          </x14:cfRule>
          <xm:sqref>AS50</xm:sqref>
        </x14:conditionalFormatting>
        <x14:conditionalFormatting xmlns:xm="http://schemas.microsoft.com/office/excel/2006/main">
          <x14:cfRule type="expression" priority="89" id="{3FE4BB85-E773-4B20-9363-6A59B1048196}">
            <xm:f>Daten!F80&gt;0</xm:f>
            <x14:dxf>
              <fill>
                <patternFill>
                  <bgColor rgb="FFFFC000"/>
                </patternFill>
              </fill>
            </x14:dxf>
          </x14:cfRule>
          <xm:sqref>I30 D30</xm:sqref>
        </x14:conditionalFormatting>
        <x14:conditionalFormatting xmlns:xm="http://schemas.microsoft.com/office/excel/2006/main">
          <x14:cfRule type="expression" priority="91" id="{3FE4BB85-E773-4B20-9363-6A59B1048196}">
            <xm:f>Daten!K79&gt;0</xm:f>
            <x14:dxf>
              <fill>
                <patternFill>
                  <bgColor rgb="FFFFC000"/>
                </patternFill>
              </fill>
            </x14:dxf>
          </x14:cfRule>
          <xm:sqref>B30</xm:sqref>
        </x14:conditionalFormatting>
        <x14:conditionalFormatting xmlns:xm="http://schemas.microsoft.com/office/excel/2006/main">
          <x14:cfRule type="expression" priority="94" id="{8AC4F28A-493A-4A0D-BBDE-431CC6E9649C}">
            <xm:f>Daten!$K$79&gt;0</xm:f>
            <x14:dxf>
              <fill>
                <patternFill>
                  <bgColor rgb="FFFFC000"/>
                </patternFill>
              </fill>
            </x14:dxf>
          </x14:cfRule>
          <xm:sqref>BP72:BY72 BP70:BY70 BP68:BY68 BO40:BY40 BO26:BY26 BO24:BY24 BO22</xm:sqref>
        </x14:conditionalFormatting>
        <x14:conditionalFormatting xmlns:xm="http://schemas.microsoft.com/office/excel/2006/main">
          <x14:cfRule type="expression" priority="101" id="{D438BB4D-EE06-45A0-9AE8-22589F6128DC}">
            <xm:f>AND(Daten!$C$161=1,Daten!$K$79&gt;0)</xm:f>
            <x14:dxf>
              <fill>
                <patternFill>
                  <bgColor rgb="FFFFC000"/>
                </patternFill>
              </fill>
              <border>
                <left/>
                <right/>
                <top/>
                <bottom/>
                <vertical/>
                <horizontal/>
              </border>
            </x14:dxf>
          </x14:cfRule>
          <xm:sqref>BP50:BY50</xm:sqref>
        </x14:conditionalFormatting>
        <x14:conditionalFormatting xmlns:xm="http://schemas.microsoft.com/office/excel/2006/main">
          <x14:cfRule type="expression" priority="102" id="{D92FE411-7961-49BF-8EDF-EC97F612D053}">
            <xm:f>AND(Daten!$K$79&gt;0,Daten!$C$161=2)</xm:f>
            <x14:dxf>
              <fill>
                <patternFill>
                  <bgColor rgb="FFFFC000"/>
                </patternFill>
              </fill>
              <border>
                <left/>
                <right/>
                <top/>
                <bottom/>
                <vertical/>
                <horizontal/>
              </border>
            </x14:dxf>
          </x14:cfRule>
          <xm:sqref>BW52:BY52</xm:sqref>
        </x14:conditionalFormatting>
        <x14:conditionalFormatting xmlns:xm="http://schemas.microsoft.com/office/excel/2006/main">
          <x14:cfRule type="expression" priority="103" id="{67C6AB72-FEFC-4F09-A114-5C7CABDCC1AB}">
            <xm:f>AND(Daten!$K$79&gt;0,Daten!$C$161=2)</xm:f>
            <x14:dxf>
              <fill>
                <patternFill>
                  <bgColor theme="7"/>
                </patternFill>
              </fill>
              <border>
                <left/>
                <right/>
                <top/>
                <bottom/>
                <vertical/>
                <horizontal/>
              </border>
            </x14:dxf>
          </x14:cfRule>
          <xm:sqref>BP52:BV52</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Daten!$C$28:$C$31</xm:f>
          </x14:formula1>
          <xm:sqref>AG46</xm:sqref>
        </x14:dataValidation>
        <x14:dataValidation type="list" allowBlank="1" showInputMessage="1" showErrorMessage="1" xr:uid="{00000000-0002-0000-0100-000001000000}">
          <x14:formula1>
            <xm:f>Daten!$J$28:$J$31</xm:f>
          </x14:formula1>
          <xm:sqref>AG44</xm:sqref>
        </x14:dataValidation>
        <x14:dataValidation type="list" allowBlank="1" showInputMessage="1" showErrorMessage="1" xr:uid="{00000000-0002-0000-0100-000002000000}">
          <x14:formula1>
            <xm:f>Daten!$H$32:$H$35</xm:f>
          </x14:formula1>
          <xm:sqref>AG56:AQ56</xm:sqref>
        </x14:dataValidation>
        <x14:dataValidation type="list" allowBlank="1" showInputMessage="1" showErrorMessage="1" xr:uid="{00000000-0002-0000-0100-000003000000}">
          <x14:formula1>
            <xm:f>Daten!$H$37:$H$39</xm:f>
          </x14:formula1>
          <xm:sqref>AG48</xm:sqref>
        </x14:dataValidation>
        <x14:dataValidation type="list" allowBlank="1" showInputMessage="1" showErrorMessage="1" xr:uid="{00000000-0002-0000-0100-000004000000}">
          <x14:formula1>
            <xm:f>Daten!$J$37:$J$38</xm:f>
          </x14:formula1>
          <xm:sqref>AG42:AQ42</xm:sqref>
        </x14:dataValidation>
        <x14:dataValidation type="list" allowBlank="1" showInputMessage="1" showErrorMessage="1" xr:uid="{00000000-0002-0000-0100-000005000000}">
          <x14:formula1>
            <xm:f>Daten!B5:B10</xm:f>
          </x14:formula1>
          <xm:sqref>AO10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2:BY88"/>
  <sheetViews>
    <sheetView zoomScale="160" zoomScaleNormal="160" workbookViewId="0">
      <selection activeCell="AJ79" sqref="AJ79:AT79"/>
    </sheetView>
  </sheetViews>
  <sheetFormatPr baseColWidth="10" defaultColWidth="11.42578125" defaultRowHeight="12" x14ac:dyDescent="0.2"/>
  <cols>
    <col min="1" max="1" width="11.42578125" style="363"/>
    <col min="2" max="31" width="1.140625" style="363" customWidth="1"/>
    <col min="32" max="33" width="1.140625" style="184" customWidth="1"/>
    <col min="34" max="42" width="1.140625" style="363" customWidth="1"/>
    <col min="43" max="55" width="1.140625" style="184" customWidth="1"/>
    <col min="56" max="77" width="1.140625" style="363" customWidth="1"/>
    <col min="78" max="78" width="0.28515625" style="363" customWidth="1"/>
    <col min="79" max="16384" width="11.42578125" style="363"/>
  </cols>
  <sheetData>
    <row r="2" spans="2:77" x14ac:dyDescent="0.2">
      <c r="B2" s="707" t="s">
        <v>1093</v>
      </c>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707"/>
      <c r="AL2" s="707"/>
      <c r="AM2" s="707"/>
      <c r="AN2" s="707"/>
      <c r="AO2" s="707"/>
      <c r="AP2" s="707"/>
      <c r="AQ2" s="707"/>
      <c r="AR2" s="707"/>
      <c r="AS2" s="707"/>
      <c r="AT2" s="707"/>
      <c r="AU2" s="707"/>
      <c r="AV2" s="707"/>
      <c r="AW2" s="707"/>
      <c r="AX2" s="707"/>
      <c r="AY2" s="707"/>
      <c r="AZ2" s="707"/>
      <c r="BA2" s="707"/>
      <c r="BB2" s="707"/>
      <c r="BC2" s="707"/>
      <c r="BD2" s="707"/>
      <c r="BE2" s="707"/>
      <c r="BF2" s="707"/>
      <c r="BG2" s="707"/>
      <c r="BH2" s="707"/>
      <c r="BI2" s="707"/>
      <c r="BJ2" s="707"/>
      <c r="BK2" s="707"/>
      <c r="BL2" s="707"/>
      <c r="BM2" s="707"/>
      <c r="BN2" s="707"/>
      <c r="BO2" s="707"/>
      <c r="BP2" s="707"/>
      <c r="BQ2" s="707"/>
      <c r="BR2" s="707"/>
      <c r="BS2" s="707"/>
      <c r="BT2" s="707"/>
      <c r="BU2" s="707"/>
      <c r="BV2" s="707"/>
      <c r="BW2" s="707"/>
      <c r="BX2" s="707"/>
      <c r="BY2" s="707"/>
    </row>
    <row r="4" spans="2:77" ht="37.5" customHeight="1" x14ac:dyDescent="0.2">
      <c r="U4" s="414" t="s">
        <v>1121</v>
      </c>
    </row>
    <row r="5" spans="2:77" ht="18" customHeight="1" x14ac:dyDescent="0.25">
      <c r="B5" s="385" t="s">
        <v>1089</v>
      </c>
      <c r="K5" s="370" t="s">
        <v>1090</v>
      </c>
    </row>
    <row r="6" spans="2:77" ht="8.1" customHeight="1" x14ac:dyDescent="0.2"/>
    <row r="7" spans="2:77" ht="10.15" customHeight="1" x14ac:dyDescent="0.2">
      <c r="B7" s="365" t="s">
        <v>388</v>
      </c>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194"/>
      <c r="AG7" s="701">
        <f>'KdU-Berechnung'!AO14</f>
        <v>0</v>
      </c>
      <c r="AH7" s="701"/>
      <c r="AI7" s="701"/>
      <c r="AJ7" s="701"/>
      <c r="AK7" s="701"/>
      <c r="AL7" s="701"/>
      <c r="AM7" s="701"/>
      <c r="AN7" s="701"/>
      <c r="AO7" s="701"/>
      <c r="AP7" s="701"/>
      <c r="AQ7" s="701"/>
      <c r="AR7" s="701"/>
      <c r="AS7" s="701"/>
      <c r="AT7" s="701"/>
      <c r="AU7" s="701"/>
      <c r="AV7" s="701"/>
      <c r="AW7" s="701"/>
      <c r="AX7" s="701"/>
      <c r="AY7" s="701"/>
      <c r="AZ7" s="701"/>
      <c r="BA7" s="701"/>
      <c r="BB7" s="701"/>
      <c r="BC7" s="701"/>
      <c r="BD7" s="701"/>
      <c r="BE7" s="701"/>
      <c r="BF7" s="701"/>
      <c r="BG7" s="701"/>
      <c r="BH7" s="701"/>
      <c r="BI7" s="701"/>
      <c r="BJ7" s="701"/>
      <c r="BK7" s="701"/>
      <c r="BL7" s="701"/>
      <c r="BM7" s="701"/>
      <c r="BN7" s="701"/>
      <c r="BO7" s="701"/>
      <c r="BP7" s="701"/>
      <c r="BQ7" s="701"/>
      <c r="BR7" s="701"/>
      <c r="BS7" s="701"/>
      <c r="BT7" s="701"/>
      <c r="BU7" s="701"/>
      <c r="BV7" s="701"/>
      <c r="BW7" s="701"/>
      <c r="BX7" s="701"/>
      <c r="BY7" s="701"/>
    </row>
    <row r="8" spans="2:77" ht="5.0999999999999996" customHeight="1" x14ac:dyDescent="0.2">
      <c r="B8" s="365"/>
      <c r="C8" s="365"/>
      <c r="D8" s="365"/>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194"/>
      <c r="AG8" s="194"/>
      <c r="AH8" s="365"/>
      <c r="AI8" s="365"/>
      <c r="AJ8" s="365"/>
      <c r="AK8" s="365"/>
      <c r="AL8" s="365"/>
      <c r="AM8" s="365"/>
      <c r="AN8" s="365"/>
      <c r="AO8" s="365"/>
      <c r="AP8" s="365"/>
      <c r="AQ8" s="194"/>
      <c r="AR8" s="194"/>
      <c r="AS8" s="194"/>
      <c r="AT8" s="194"/>
      <c r="AU8" s="194"/>
      <c r="AV8" s="194"/>
      <c r="AW8" s="194"/>
      <c r="AX8" s="194"/>
      <c r="AY8" s="194"/>
      <c r="AZ8" s="194"/>
      <c r="BA8" s="194"/>
      <c r="BB8" s="194"/>
      <c r="BC8" s="194"/>
      <c r="BD8" s="365"/>
      <c r="BE8" s="194"/>
      <c r="BF8" s="194"/>
      <c r="BG8" s="194"/>
      <c r="BH8" s="194"/>
      <c r="BI8" s="194"/>
      <c r="BJ8" s="194"/>
      <c r="BK8" s="194"/>
      <c r="BL8" s="194"/>
      <c r="BM8" s="194"/>
      <c r="BN8" s="194"/>
      <c r="BO8" s="194"/>
      <c r="BP8" s="194"/>
      <c r="BQ8" s="194"/>
      <c r="BR8" s="194"/>
      <c r="BS8" s="194"/>
      <c r="BT8" s="194"/>
      <c r="BU8" s="194"/>
      <c r="BV8" s="194"/>
      <c r="BW8" s="194"/>
      <c r="BX8" s="194"/>
      <c r="BY8" s="194"/>
    </row>
    <row r="9" spans="2:77" ht="10.15" customHeight="1" x14ac:dyDescent="0.2">
      <c r="B9" s="365" t="s">
        <v>410</v>
      </c>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194"/>
      <c r="AG9" s="700">
        <f>'KdU-Berechnung'!AO10</f>
        <v>0</v>
      </c>
      <c r="AH9" s="700"/>
      <c r="AI9" s="700"/>
      <c r="AJ9" s="700"/>
      <c r="AK9" s="700"/>
      <c r="AL9" s="700"/>
      <c r="AM9" s="700"/>
      <c r="AN9" s="700"/>
      <c r="AO9" s="700"/>
      <c r="AP9" s="700"/>
      <c r="AQ9" s="700"/>
      <c r="AR9" s="700"/>
      <c r="AS9" s="700"/>
      <c r="AT9" s="700"/>
      <c r="AU9" s="700"/>
      <c r="AV9" s="700"/>
      <c r="AW9" s="700"/>
      <c r="AX9" s="700"/>
      <c r="AY9" s="700"/>
      <c r="AZ9" s="700"/>
      <c r="BA9" s="700"/>
      <c r="BB9" s="700"/>
      <c r="BC9" s="700"/>
      <c r="BD9" s="700"/>
      <c r="BE9" s="700"/>
      <c r="BF9" s="700"/>
      <c r="BG9" s="700"/>
      <c r="BH9" s="700"/>
      <c r="BI9" s="700"/>
      <c r="BJ9" s="700"/>
      <c r="BK9" s="700"/>
      <c r="BL9" s="700"/>
      <c r="BM9" s="700"/>
      <c r="BN9" s="700"/>
      <c r="BO9" s="700"/>
      <c r="BP9" s="700"/>
      <c r="BQ9" s="700"/>
      <c r="BR9" s="700"/>
      <c r="BS9" s="700"/>
      <c r="BT9" s="700"/>
      <c r="BU9" s="700"/>
      <c r="BV9" s="700"/>
      <c r="BW9" s="700"/>
      <c r="BX9" s="700"/>
      <c r="BY9" s="700"/>
    </row>
    <row r="10" spans="2:77" ht="5.0999999999999996" customHeight="1" x14ac:dyDescent="0.2">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194"/>
      <c r="AG10" s="194"/>
      <c r="AH10" s="365"/>
      <c r="AI10" s="365"/>
      <c r="AJ10" s="365"/>
      <c r="AK10" s="365"/>
      <c r="AL10" s="365"/>
      <c r="AM10" s="365"/>
      <c r="AN10" s="365"/>
      <c r="AO10" s="365"/>
      <c r="AP10" s="365"/>
      <c r="AQ10" s="194"/>
      <c r="AR10" s="194"/>
      <c r="AS10" s="194"/>
      <c r="AT10" s="194"/>
      <c r="AU10" s="194"/>
      <c r="AV10" s="194"/>
      <c r="AW10" s="194"/>
      <c r="AX10" s="194"/>
      <c r="AY10" s="194"/>
      <c r="AZ10" s="194"/>
      <c r="BA10" s="194"/>
      <c r="BB10" s="194"/>
      <c r="BC10" s="194"/>
      <c r="BD10" s="365"/>
      <c r="BE10" s="365"/>
      <c r="BF10" s="365"/>
      <c r="BG10" s="365"/>
      <c r="BH10" s="365"/>
      <c r="BI10" s="365"/>
      <c r="BJ10" s="365"/>
      <c r="BK10" s="365"/>
      <c r="BL10" s="365"/>
      <c r="BM10" s="365"/>
      <c r="BN10" s="365"/>
      <c r="BO10" s="365"/>
      <c r="BP10" s="365"/>
      <c r="BQ10" s="365"/>
      <c r="BR10" s="365"/>
      <c r="BS10" s="365"/>
      <c r="BT10" s="365"/>
      <c r="BU10" s="365"/>
      <c r="BV10" s="365"/>
      <c r="BW10" s="365"/>
      <c r="BX10" s="365"/>
      <c r="BY10" s="365"/>
    </row>
    <row r="11" spans="2:77" ht="10.15" customHeight="1" x14ac:dyDescent="0.2">
      <c r="B11" s="365" t="s">
        <v>1059</v>
      </c>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194"/>
      <c r="AG11" s="702">
        <f>'KdU-Berechnung'!BJ10</f>
        <v>0</v>
      </c>
      <c r="AH11" s="700"/>
      <c r="AI11" s="700"/>
      <c r="AJ11" s="700"/>
      <c r="AK11" s="700"/>
      <c r="AL11" s="700"/>
      <c r="AM11" s="700"/>
      <c r="AN11" s="700"/>
      <c r="AO11" s="700"/>
      <c r="AP11" s="700"/>
      <c r="AQ11" s="700"/>
      <c r="AR11" s="194"/>
      <c r="AS11" s="194"/>
      <c r="AT11" s="194"/>
      <c r="AU11" s="194"/>
      <c r="AV11" s="194"/>
      <c r="AW11" s="194"/>
      <c r="AX11" s="194"/>
      <c r="AY11" s="194"/>
      <c r="AZ11" s="194"/>
      <c r="BA11" s="194"/>
      <c r="BB11" s="194"/>
      <c r="BC11" s="194"/>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365"/>
    </row>
    <row r="12" spans="2:77" ht="8.1" customHeight="1" x14ac:dyDescent="0.2">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194"/>
      <c r="AG12" s="194"/>
      <c r="AH12" s="365"/>
      <c r="AI12" s="365"/>
      <c r="AJ12" s="365"/>
      <c r="AK12" s="365"/>
      <c r="AL12" s="365"/>
      <c r="AM12" s="365"/>
      <c r="AN12" s="365"/>
      <c r="AO12" s="365"/>
      <c r="AP12" s="365"/>
      <c r="AQ12" s="194"/>
      <c r="AR12" s="194"/>
      <c r="AS12" s="194"/>
      <c r="AT12" s="194"/>
      <c r="AU12" s="194"/>
      <c r="AV12" s="194"/>
      <c r="AW12" s="194"/>
      <c r="AX12" s="194"/>
      <c r="AY12" s="194"/>
      <c r="AZ12" s="194"/>
      <c r="BA12" s="194"/>
      <c r="BB12" s="194"/>
      <c r="BC12" s="194"/>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365"/>
    </row>
    <row r="13" spans="2:77" ht="10.15" customHeight="1" x14ac:dyDescent="0.2">
      <c r="B13" s="366" t="s">
        <v>1122</v>
      </c>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194"/>
      <c r="AG13" s="194"/>
      <c r="AH13" s="365"/>
      <c r="AI13" s="365"/>
      <c r="AJ13" s="365"/>
      <c r="AK13" s="365"/>
      <c r="AL13" s="365"/>
      <c r="AM13" s="365"/>
      <c r="AN13" s="365"/>
      <c r="AO13" s="365"/>
      <c r="AP13" s="365"/>
      <c r="AQ13" s="194"/>
      <c r="AR13" s="194"/>
      <c r="AS13" s="194"/>
      <c r="AT13" s="194"/>
      <c r="AU13" s="194"/>
      <c r="AV13" s="194"/>
      <c r="AW13" s="194"/>
      <c r="AX13" s="194"/>
      <c r="AY13" s="194"/>
      <c r="AZ13" s="194"/>
      <c r="BA13" s="194"/>
      <c r="BB13" s="194"/>
      <c r="BC13" s="194"/>
      <c r="BD13" s="365"/>
      <c r="BE13" s="365"/>
      <c r="BF13" s="365"/>
      <c r="BG13" s="365"/>
      <c r="BH13" s="365"/>
      <c r="BI13" s="365"/>
      <c r="BJ13" s="365"/>
      <c r="BK13" s="365"/>
      <c r="BL13" s="365"/>
      <c r="BM13" s="365"/>
      <c r="BN13" s="365"/>
      <c r="BO13" s="365"/>
      <c r="BP13" s="365"/>
      <c r="BQ13" s="365"/>
      <c r="BR13" s="365"/>
      <c r="BS13" s="365"/>
      <c r="BT13" s="365"/>
      <c r="BU13" s="365"/>
      <c r="BV13" s="365"/>
      <c r="BW13" s="365"/>
      <c r="BX13" s="365"/>
      <c r="BY13" s="365"/>
    </row>
    <row r="14" spans="2:77" ht="3.2" customHeight="1" x14ac:dyDescent="0.2">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194"/>
      <c r="AG14" s="194"/>
      <c r="AH14" s="365"/>
      <c r="AI14" s="365"/>
      <c r="AJ14" s="365"/>
      <c r="AK14" s="365"/>
      <c r="AL14" s="365"/>
      <c r="AM14" s="365"/>
      <c r="AN14" s="365"/>
      <c r="AO14" s="365"/>
      <c r="AP14" s="365"/>
      <c r="AQ14" s="194"/>
      <c r="AR14" s="194"/>
      <c r="AS14" s="194"/>
      <c r="AT14" s="194"/>
      <c r="AU14" s="194"/>
      <c r="AV14" s="194"/>
      <c r="AW14" s="194"/>
      <c r="AX14" s="194"/>
      <c r="AY14" s="194"/>
      <c r="AZ14" s="194"/>
      <c r="BA14" s="194"/>
      <c r="BB14" s="194"/>
      <c r="BC14" s="194"/>
      <c r="BD14" s="365"/>
      <c r="BE14" s="365"/>
      <c r="BF14" s="365"/>
      <c r="BG14" s="365"/>
      <c r="BH14" s="365"/>
      <c r="BI14" s="365"/>
      <c r="BJ14" s="365"/>
      <c r="BK14" s="365"/>
      <c r="BL14" s="365"/>
      <c r="BM14" s="365"/>
      <c r="BN14" s="365"/>
      <c r="BO14" s="365"/>
      <c r="BP14" s="365"/>
      <c r="BQ14" s="365"/>
      <c r="BR14" s="365"/>
      <c r="BS14" s="365"/>
      <c r="BT14" s="365"/>
      <c r="BU14" s="365"/>
      <c r="BV14" s="365"/>
      <c r="BW14" s="365"/>
      <c r="BX14" s="365"/>
      <c r="BY14" s="365"/>
    </row>
    <row r="15" spans="2:77" ht="10.15" customHeight="1" x14ac:dyDescent="0.2">
      <c r="B15" s="365" t="s">
        <v>409</v>
      </c>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194"/>
      <c r="AG15" s="700">
        <f>'KdU-Berechnung'!B10</f>
        <v>0</v>
      </c>
      <c r="AH15" s="700"/>
      <c r="AI15" s="700"/>
      <c r="AJ15" s="700"/>
      <c r="AK15" s="700"/>
      <c r="AL15" s="700"/>
      <c r="AM15" s="700"/>
      <c r="AN15" s="700"/>
      <c r="AO15" s="700"/>
      <c r="AP15" s="700"/>
      <c r="AQ15" s="700"/>
      <c r="AR15" s="700"/>
      <c r="AS15" s="700"/>
      <c r="AT15" s="700"/>
      <c r="AU15" s="700"/>
      <c r="AV15" s="700"/>
      <c r="AW15" s="700"/>
      <c r="AX15" s="700"/>
      <c r="AY15" s="700"/>
      <c r="AZ15" s="700"/>
      <c r="BA15" s="700"/>
      <c r="BB15" s="700"/>
      <c r="BC15" s="700"/>
      <c r="BD15" s="700"/>
      <c r="BE15" s="700"/>
      <c r="BF15" s="700"/>
      <c r="BG15" s="700"/>
      <c r="BH15" s="700"/>
      <c r="BI15" s="700"/>
      <c r="BJ15" s="700"/>
      <c r="BK15" s="700"/>
      <c r="BL15" s="700"/>
      <c r="BM15" s="700"/>
      <c r="BN15" s="700"/>
      <c r="BO15" s="700"/>
      <c r="BP15" s="700"/>
      <c r="BQ15" s="700"/>
      <c r="BR15" s="700"/>
      <c r="BS15" s="700"/>
      <c r="BT15" s="700"/>
      <c r="BU15" s="700"/>
      <c r="BV15" s="700"/>
      <c r="BW15" s="700"/>
      <c r="BX15" s="700"/>
      <c r="BY15" s="700"/>
    </row>
    <row r="16" spans="2:77" ht="3.2" customHeight="1" x14ac:dyDescent="0.2">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194"/>
      <c r="AG16" s="194"/>
      <c r="AH16" s="365"/>
      <c r="AI16" s="365"/>
      <c r="AJ16" s="365"/>
      <c r="AK16" s="365"/>
      <c r="AL16" s="365"/>
      <c r="AM16" s="365"/>
      <c r="AN16" s="365"/>
      <c r="AO16" s="365"/>
      <c r="AP16" s="365"/>
      <c r="AQ16" s="194"/>
      <c r="AR16" s="194"/>
      <c r="AS16" s="194"/>
      <c r="AT16" s="194"/>
      <c r="AU16" s="194"/>
      <c r="AV16" s="194"/>
      <c r="AW16" s="194"/>
      <c r="AX16" s="194"/>
      <c r="AY16" s="194"/>
      <c r="AZ16" s="194"/>
      <c r="BA16" s="194"/>
      <c r="BB16" s="194"/>
      <c r="BC16" s="194"/>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365"/>
    </row>
    <row r="17" spans="2:77" ht="10.15" customHeight="1" x14ac:dyDescent="0.2">
      <c r="B17" s="365" t="s">
        <v>364</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194"/>
      <c r="AG17" s="700" t="str">
        <f>'KdU-Berechnung'!B14&amp;" "&amp;'KdU-Berechnung'!AC14</f>
        <v xml:space="preserve"> </v>
      </c>
      <c r="AH17" s="700"/>
      <c r="AI17" s="700"/>
      <c r="AJ17" s="700"/>
      <c r="AK17" s="700"/>
      <c r="AL17" s="700"/>
      <c r="AM17" s="700"/>
      <c r="AN17" s="700"/>
      <c r="AO17" s="700"/>
      <c r="AP17" s="700"/>
      <c r="AQ17" s="700"/>
      <c r="AR17" s="700"/>
      <c r="AS17" s="700"/>
      <c r="AT17" s="700"/>
      <c r="AU17" s="700"/>
      <c r="AV17" s="700"/>
      <c r="AW17" s="700"/>
      <c r="AX17" s="700"/>
      <c r="AY17" s="700"/>
      <c r="AZ17" s="700"/>
      <c r="BA17" s="700"/>
      <c r="BB17" s="700"/>
      <c r="BC17" s="700"/>
      <c r="BD17" s="700"/>
      <c r="BE17" s="700"/>
      <c r="BF17" s="700"/>
      <c r="BG17" s="700"/>
      <c r="BH17" s="700"/>
      <c r="BI17" s="700"/>
      <c r="BJ17" s="700"/>
      <c r="BK17" s="700"/>
      <c r="BL17" s="700"/>
      <c r="BM17" s="700"/>
      <c r="BN17" s="700"/>
      <c r="BO17" s="700"/>
      <c r="BP17" s="700"/>
      <c r="BQ17" s="700"/>
      <c r="BR17" s="700"/>
      <c r="BS17" s="700"/>
      <c r="BT17" s="700"/>
      <c r="BU17" s="700"/>
      <c r="BV17" s="700"/>
      <c r="BW17" s="700"/>
      <c r="BX17" s="700"/>
      <c r="BY17" s="700"/>
    </row>
    <row r="18" spans="2:77" ht="3.2" customHeight="1" x14ac:dyDescent="0.2">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194"/>
      <c r="AG18" s="194"/>
      <c r="AH18" s="365"/>
      <c r="AI18" s="365"/>
      <c r="AJ18" s="365"/>
      <c r="AK18" s="365"/>
      <c r="AL18" s="365"/>
      <c r="AM18" s="365"/>
      <c r="AN18" s="365"/>
      <c r="AO18" s="365"/>
      <c r="AP18" s="365"/>
      <c r="AQ18" s="194"/>
      <c r="AR18" s="194"/>
      <c r="AS18" s="194"/>
      <c r="AT18" s="194"/>
      <c r="AU18" s="194"/>
      <c r="AV18" s="194"/>
      <c r="AW18" s="194"/>
      <c r="AX18" s="194"/>
      <c r="AY18" s="194"/>
      <c r="AZ18" s="194"/>
      <c r="BA18" s="194"/>
      <c r="BB18" s="194"/>
      <c r="BC18" s="194"/>
      <c r="BD18" s="365"/>
      <c r="BE18" s="365"/>
      <c r="BF18" s="365"/>
      <c r="BG18" s="365"/>
      <c r="BH18" s="365"/>
      <c r="BI18" s="365"/>
      <c r="BJ18" s="365"/>
      <c r="BK18" s="365"/>
      <c r="BL18" s="365"/>
      <c r="BM18" s="365"/>
      <c r="BN18" s="365"/>
      <c r="BO18" s="365"/>
      <c r="BP18" s="365"/>
      <c r="BQ18" s="365"/>
      <c r="BR18" s="365"/>
      <c r="BS18" s="365"/>
      <c r="BT18" s="365"/>
      <c r="BU18" s="365"/>
      <c r="BV18" s="365"/>
      <c r="BW18" s="365"/>
      <c r="BX18" s="365"/>
      <c r="BY18" s="365"/>
    </row>
    <row r="19" spans="2:77" ht="10.15" customHeight="1" x14ac:dyDescent="0.2">
      <c r="B19" s="365" t="s">
        <v>365</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194"/>
      <c r="AG19" s="700" t="str">
        <f>'KdU-Berechnung'!B18</f>
        <v/>
      </c>
      <c r="AH19" s="700"/>
      <c r="AI19" s="700"/>
      <c r="AJ19" s="700"/>
      <c r="AK19" s="700"/>
      <c r="AL19" s="700"/>
      <c r="AM19" s="700"/>
      <c r="AN19" s="700"/>
      <c r="AO19" s="700"/>
      <c r="AP19" s="700"/>
      <c r="AQ19" s="700"/>
      <c r="AR19" s="700"/>
      <c r="AS19" s="700"/>
      <c r="AT19" s="700"/>
      <c r="AU19" s="700"/>
      <c r="AV19" s="700"/>
      <c r="AW19" s="700"/>
      <c r="AX19" s="700"/>
      <c r="AY19" s="700"/>
      <c r="AZ19" s="700"/>
      <c r="BA19" s="700"/>
      <c r="BB19" s="700"/>
      <c r="BC19" s="700"/>
      <c r="BD19" s="700"/>
      <c r="BE19" s="700"/>
      <c r="BF19" s="700"/>
      <c r="BG19" s="700"/>
      <c r="BH19" s="700"/>
      <c r="BI19" s="700"/>
      <c r="BJ19" s="700"/>
      <c r="BK19" s="700"/>
      <c r="BL19" s="700"/>
      <c r="BM19" s="700"/>
      <c r="BN19" s="700"/>
      <c r="BO19" s="700"/>
      <c r="BP19" s="700"/>
      <c r="BQ19" s="700"/>
      <c r="BR19" s="700"/>
      <c r="BS19" s="700"/>
      <c r="BT19" s="700"/>
      <c r="BU19" s="700"/>
      <c r="BV19" s="700"/>
      <c r="BW19" s="700"/>
      <c r="BX19" s="700"/>
      <c r="BY19" s="700"/>
    </row>
    <row r="20" spans="2:77" ht="3.2" customHeight="1" x14ac:dyDescent="0.2">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194"/>
      <c r="AG20" s="194"/>
      <c r="AH20" s="365"/>
      <c r="AI20" s="365"/>
      <c r="AJ20" s="365"/>
      <c r="AK20" s="365"/>
      <c r="AL20" s="365"/>
      <c r="AM20" s="365"/>
      <c r="AN20" s="365"/>
      <c r="AO20" s="365"/>
      <c r="AP20" s="365"/>
      <c r="AQ20" s="194"/>
      <c r="AR20" s="194"/>
      <c r="AS20" s="194"/>
      <c r="AT20" s="194"/>
      <c r="AU20" s="194"/>
      <c r="AV20" s="194"/>
      <c r="AW20" s="194"/>
      <c r="AX20" s="194"/>
      <c r="AY20" s="194"/>
      <c r="AZ20" s="194"/>
      <c r="BA20" s="194"/>
      <c r="BB20" s="194"/>
      <c r="BC20" s="194"/>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365"/>
    </row>
    <row r="21" spans="2:77" ht="10.15" customHeight="1" x14ac:dyDescent="0.2">
      <c r="B21" s="365" t="s">
        <v>366</v>
      </c>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194"/>
      <c r="AG21" s="700" t="str">
        <f>'KdU-Berechnung'!AA18</f>
        <v/>
      </c>
      <c r="AH21" s="700"/>
      <c r="AI21" s="700"/>
      <c r="AJ21" s="700"/>
      <c r="AK21" s="700"/>
      <c r="AL21" s="700"/>
      <c r="AM21" s="700"/>
      <c r="AN21" s="700"/>
      <c r="AO21" s="700"/>
      <c r="AP21" s="700"/>
      <c r="AQ21" s="700"/>
      <c r="AR21" s="700"/>
      <c r="AS21" s="700"/>
      <c r="AT21" s="700"/>
      <c r="AU21" s="700"/>
      <c r="AV21" s="700"/>
      <c r="AW21" s="700"/>
      <c r="AX21" s="700"/>
      <c r="AY21" s="700"/>
      <c r="AZ21" s="700"/>
      <c r="BA21" s="700"/>
      <c r="BB21" s="700"/>
      <c r="BC21" s="700"/>
      <c r="BD21" s="700"/>
      <c r="BE21" s="700"/>
      <c r="BF21" s="700"/>
      <c r="BG21" s="700"/>
      <c r="BH21" s="700"/>
      <c r="BI21" s="700"/>
      <c r="BJ21" s="700"/>
      <c r="BK21" s="700"/>
      <c r="BL21" s="700"/>
      <c r="BM21" s="700"/>
      <c r="BN21" s="700"/>
      <c r="BO21" s="700"/>
      <c r="BP21" s="700"/>
      <c r="BQ21" s="700"/>
      <c r="BR21" s="700"/>
      <c r="BS21" s="700"/>
      <c r="BT21" s="700"/>
      <c r="BU21" s="700"/>
      <c r="BV21" s="700"/>
      <c r="BW21" s="700"/>
      <c r="BX21" s="700"/>
      <c r="BY21" s="700"/>
    </row>
    <row r="22" spans="2:77" ht="3.2" customHeight="1" x14ac:dyDescent="0.2">
      <c r="B22" s="365"/>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194"/>
      <c r="AG22" s="194"/>
      <c r="AH22" s="365"/>
      <c r="AI22" s="365"/>
      <c r="AJ22" s="365"/>
      <c r="AK22" s="365"/>
      <c r="AL22" s="365"/>
      <c r="AM22" s="365"/>
      <c r="AN22" s="365"/>
      <c r="AO22" s="365"/>
      <c r="AP22" s="365"/>
      <c r="AQ22" s="194"/>
      <c r="AR22" s="194"/>
      <c r="AS22" s="194"/>
      <c r="AT22" s="194"/>
      <c r="AU22" s="194"/>
      <c r="AV22" s="194"/>
      <c r="AW22" s="194"/>
      <c r="AX22" s="194"/>
      <c r="AY22" s="194"/>
      <c r="AZ22" s="194"/>
      <c r="BA22" s="194"/>
      <c r="BB22" s="194"/>
      <c r="BC22" s="194"/>
      <c r="BD22" s="365"/>
      <c r="BE22" s="365"/>
      <c r="BF22" s="365"/>
      <c r="BG22" s="365"/>
      <c r="BH22" s="365"/>
      <c r="BI22" s="365"/>
      <c r="BJ22" s="365"/>
      <c r="BK22" s="365"/>
      <c r="BL22" s="365"/>
      <c r="BM22" s="365"/>
      <c r="BN22" s="365"/>
      <c r="BO22" s="365"/>
      <c r="BP22" s="365"/>
      <c r="BQ22" s="365"/>
      <c r="BR22" s="365"/>
      <c r="BS22" s="365"/>
      <c r="BT22" s="365"/>
      <c r="BU22" s="365"/>
      <c r="BV22" s="365"/>
      <c r="BW22" s="365"/>
      <c r="BX22" s="365"/>
      <c r="BY22" s="365"/>
    </row>
    <row r="23" spans="2:77" ht="10.15" customHeight="1" x14ac:dyDescent="0.2">
      <c r="B23" s="365" t="s">
        <v>1062</v>
      </c>
      <c r="C23" s="365"/>
      <c r="D23" s="365"/>
      <c r="E23" s="365"/>
      <c r="F23" s="365"/>
      <c r="G23" s="365"/>
      <c r="H23" s="365"/>
      <c r="I23" s="365"/>
      <c r="J23" s="365"/>
      <c r="K23" s="365"/>
      <c r="L23" s="365"/>
      <c r="M23" s="383" t="e">
        <f>'KdU-Berechnung'!Z78</f>
        <v>#N/A</v>
      </c>
      <c r="N23" s="365"/>
      <c r="O23" s="365"/>
      <c r="P23" s="365"/>
      <c r="Q23" s="365"/>
      <c r="R23" s="365"/>
      <c r="S23" s="365"/>
      <c r="T23" s="365"/>
      <c r="U23" s="365"/>
      <c r="V23" s="365"/>
      <c r="W23" s="365"/>
      <c r="X23" s="365"/>
      <c r="Y23" s="365"/>
      <c r="Z23" s="365"/>
      <c r="AA23" s="365"/>
      <c r="AB23" s="365"/>
      <c r="AC23" s="365"/>
      <c r="AD23" s="365"/>
      <c r="AE23" s="365"/>
      <c r="AF23" s="194"/>
      <c r="AG23" s="700" t="str">
        <f>'KdU-Berechnung'!BQ18</f>
        <v/>
      </c>
      <c r="AH23" s="700"/>
      <c r="AI23" s="700"/>
      <c r="AJ23" s="700"/>
      <c r="AK23" s="700"/>
      <c r="AL23" s="700"/>
      <c r="AM23" s="700"/>
      <c r="AN23" s="700"/>
      <c r="AO23" s="700"/>
      <c r="AP23" s="700"/>
      <c r="AQ23" s="700"/>
      <c r="AR23" s="194"/>
      <c r="AS23" s="194"/>
      <c r="AT23" s="194"/>
      <c r="AU23" s="194"/>
      <c r="AV23" s="194"/>
      <c r="AW23" s="194"/>
      <c r="AX23" s="194"/>
      <c r="AY23" s="194"/>
      <c r="AZ23" s="194"/>
      <c r="BA23" s="194"/>
      <c r="BB23" s="194"/>
      <c r="BC23" s="194"/>
      <c r="BD23" s="365"/>
      <c r="BE23" s="365"/>
      <c r="BF23" s="365"/>
      <c r="BG23" s="365"/>
      <c r="BH23" s="365"/>
      <c r="BI23" s="365"/>
      <c r="BJ23" s="365"/>
      <c r="BK23" s="365"/>
      <c r="BL23" s="365"/>
      <c r="BM23" s="365"/>
      <c r="BN23" s="365"/>
      <c r="BO23" s="365"/>
      <c r="BP23" s="365"/>
      <c r="BQ23" s="365"/>
      <c r="BR23" s="365"/>
      <c r="BS23" s="365"/>
      <c r="BT23" s="365"/>
      <c r="BU23" s="365"/>
      <c r="BV23" s="365"/>
      <c r="BW23" s="365"/>
      <c r="BX23" s="365"/>
      <c r="BY23" s="365"/>
    </row>
    <row r="24" spans="2:77" ht="8.1" customHeight="1" x14ac:dyDescent="0.2">
      <c r="B24" s="365"/>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194"/>
      <c r="AG24" s="194"/>
      <c r="AH24" s="365"/>
      <c r="AI24" s="365"/>
      <c r="AJ24" s="365"/>
      <c r="AK24" s="365"/>
      <c r="AL24" s="365"/>
      <c r="AM24" s="365"/>
      <c r="AN24" s="365"/>
      <c r="AO24" s="365"/>
      <c r="AP24" s="365"/>
      <c r="AQ24" s="194"/>
      <c r="AR24" s="194"/>
      <c r="AS24" s="194"/>
      <c r="AT24" s="194"/>
      <c r="AU24" s="194"/>
      <c r="AV24" s="194"/>
      <c r="AW24" s="194"/>
      <c r="AX24" s="194"/>
      <c r="AY24" s="194"/>
      <c r="AZ24" s="194"/>
      <c r="BA24" s="194"/>
      <c r="BB24" s="194"/>
      <c r="BC24" s="194"/>
      <c r="BD24" s="365"/>
      <c r="BE24" s="365"/>
      <c r="BF24" s="365"/>
      <c r="BG24" s="365"/>
      <c r="BH24" s="365"/>
      <c r="BI24" s="365"/>
      <c r="BJ24" s="365"/>
      <c r="BK24" s="365"/>
      <c r="BL24" s="365"/>
      <c r="BM24" s="365"/>
      <c r="BN24" s="365"/>
      <c r="BO24" s="365"/>
      <c r="BP24" s="365"/>
      <c r="BQ24" s="365"/>
      <c r="BR24" s="365"/>
      <c r="BS24" s="365"/>
      <c r="BT24" s="365"/>
      <c r="BU24" s="365"/>
      <c r="BV24" s="365"/>
      <c r="BW24" s="365"/>
      <c r="BX24" s="365"/>
      <c r="BY24" s="365"/>
    </row>
    <row r="25" spans="2:77" ht="10.15" customHeight="1" x14ac:dyDescent="0.2">
      <c r="B25" s="366" t="s">
        <v>1094</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194"/>
      <c r="AG25" s="194"/>
      <c r="AH25" s="365"/>
      <c r="AI25" s="365"/>
      <c r="AJ25" s="365"/>
      <c r="AK25" s="365"/>
      <c r="AL25" s="365"/>
      <c r="AM25" s="365"/>
      <c r="AN25" s="365"/>
      <c r="AO25" s="365"/>
      <c r="AP25" s="365"/>
      <c r="AQ25" s="194"/>
      <c r="AR25" s="194"/>
      <c r="AS25" s="194"/>
      <c r="AT25" s="194"/>
      <c r="AU25" s="194"/>
      <c r="AV25" s="194"/>
      <c r="AW25" s="194"/>
      <c r="AX25" s="194"/>
      <c r="AY25" s="194"/>
      <c r="AZ25" s="194"/>
      <c r="BA25" s="194"/>
      <c r="BB25" s="194"/>
      <c r="BC25" s="194"/>
      <c r="BD25" s="365"/>
      <c r="BE25" s="365"/>
      <c r="BF25" s="365"/>
      <c r="BG25" s="365"/>
      <c r="BH25" s="365"/>
      <c r="BI25" s="365"/>
      <c r="BJ25" s="365"/>
      <c r="BK25" s="365"/>
      <c r="BL25" s="365"/>
      <c r="BM25" s="365"/>
      <c r="BN25" s="365"/>
      <c r="BO25" s="365"/>
      <c r="BP25" s="365"/>
      <c r="BQ25" s="365"/>
      <c r="BR25" s="365"/>
      <c r="BS25" s="365"/>
      <c r="BT25" s="365"/>
      <c r="BU25" s="365"/>
      <c r="BV25" s="365"/>
      <c r="BW25" s="365"/>
      <c r="BX25" s="365"/>
      <c r="BY25" s="365"/>
    </row>
    <row r="26" spans="2:77" ht="3.2" customHeight="1" x14ac:dyDescent="0.2">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194"/>
      <c r="AG26" s="194"/>
      <c r="AH26" s="365"/>
      <c r="AI26" s="365"/>
      <c r="AJ26" s="365"/>
      <c r="AK26" s="365"/>
      <c r="AL26" s="365"/>
      <c r="AM26" s="365"/>
      <c r="AN26" s="365"/>
      <c r="AO26" s="365"/>
      <c r="AP26" s="365"/>
      <c r="AQ26" s="194"/>
      <c r="AR26" s="194"/>
      <c r="AS26" s="194"/>
      <c r="AT26" s="194"/>
      <c r="AU26" s="194"/>
      <c r="AV26" s="194"/>
      <c r="AW26" s="194"/>
      <c r="AX26" s="194"/>
      <c r="AY26" s="194"/>
      <c r="AZ26" s="194"/>
      <c r="BA26" s="194"/>
      <c r="BB26" s="194"/>
      <c r="BC26" s="194"/>
      <c r="BD26" s="365"/>
      <c r="BE26" s="365"/>
      <c r="BF26" s="365"/>
      <c r="BG26" s="365"/>
      <c r="BH26" s="365"/>
      <c r="BI26" s="365"/>
      <c r="BJ26" s="365"/>
      <c r="BK26" s="365"/>
      <c r="BL26" s="365"/>
      <c r="BM26" s="365"/>
      <c r="BN26" s="365"/>
      <c r="BO26" s="365"/>
      <c r="BP26" s="365"/>
      <c r="BQ26" s="365"/>
      <c r="BR26" s="365"/>
      <c r="BS26" s="365"/>
      <c r="BT26" s="365"/>
      <c r="BU26" s="365"/>
      <c r="BV26" s="365"/>
      <c r="BW26" s="365"/>
      <c r="BX26" s="365"/>
      <c r="BY26" s="365"/>
    </row>
    <row r="27" spans="2:77" ht="10.15" customHeight="1" x14ac:dyDescent="0.2">
      <c r="B27" s="415" t="s">
        <v>1060</v>
      </c>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194"/>
      <c r="AG27" s="703">
        <f>'KdU-Berechnung'!AG24:AQ24</f>
        <v>0</v>
      </c>
      <c r="AH27" s="704"/>
      <c r="AI27" s="704"/>
      <c r="AJ27" s="704"/>
      <c r="AK27" s="704"/>
      <c r="AL27" s="704"/>
      <c r="AM27" s="704"/>
      <c r="AN27" s="704"/>
      <c r="AO27" s="704"/>
      <c r="AP27" s="704"/>
      <c r="AQ27" s="704"/>
      <c r="AR27" s="194"/>
      <c r="AS27" s="194"/>
      <c r="AT27" s="194"/>
      <c r="AU27" s="194"/>
      <c r="AV27" s="194"/>
      <c r="AW27" s="194"/>
      <c r="AX27" s="194"/>
      <c r="AY27" s="194"/>
      <c r="AZ27" s="194"/>
      <c r="BA27" s="194"/>
      <c r="BB27" s="194"/>
      <c r="BC27" s="194"/>
      <c r="BD27" s="365"/>
      <c r="BE27" s="365"/>
      <c r="BF27" s="365"/>
      <c r="BG27" s="365"/>
      <c r="BH27" s="365"/>
      <c r="BI27" s="365"/>
      <c r="BJ27" s="365"/>
      <c r="BK27" s="365"/>
      <c r="BL27" s="365"/>
      <c r="BM27" s="365"/>
      <c r="BN27" s="365"/>
      <c r="BO27" s="365"/>
      <c r="BP27" s="365"/>
      <c r="BQ27" s="365"/>
      <c r="BR27" s="365"/>
      <c r="BS27" s="365"/>
      <c r="BT27" s="365"/>
      <c r="BU27" s="365"/>
      <c r="BV27" s="365"/>
      <c r="BW27" s="365"/>
      <c r="BX27" s="365"/>
      <c r="BY27" s="365"/>
    </row>
    <row r="28" spans="2:77" ht="3.2" customHeight="1" x14ac:dyDescent="0.2">
      <c r="B28" s="365"/>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194"/>
      <c r="AG28" s="387"/>
      <c r="AH28" s="368"/>
      <c r="AI28" s="368"/>
      <c r="AJ28" s="368"/>
      <c r="AK28" s="368"/>
      <c r="AL28" s="368"/>
      <c r="AM28" s="368"/>
      <c r="AN28" s="368"/>
      <c r="AO28" s="368"/>
      <c r="AP28" s="368"/>
      <c r="AQ28" s="387"/>
      <c r="AR28" s="194"/>
      <c r="AS28" s="194"/>
      <c r="AT28" s="194"/>
      <c r="AU28" s="194"/>
      <c r="AV28" s="194"/>
      <c r="AW28" s="194"/>
      <c r="AX28" s="194"/>
      <c r="AY28" s="194"/>
      <c r="AZ28" s="194"/>
      <c r="BA28" s="194"/>
      <c r="BB28" s="194"/>
      <c r="BC28" s="194"/>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365"/>
    </row>
    <row r="29" spans="2:77" ht="10.15" customHeight="1" x14ac:dyDescent="0.2">
      <c r="B29" s="365" t="s">
        <v>856</v>
      </c>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194"/>
      <c r="AG29" s="699">
        <f>'KdU-Berechnung'!AG28</f>
        <v>0</v>
      </c>
      <c r="AH29" s="699"/>
      <c r="AI29" s="699"/>
      <c r="AJ29" s="699"/>
      <c r="AK29" s="699"/>
      <c r="AL29" s="699"/>
      <c r="AM29" s="699"/>
      <c r="AN29" s="699"/>
      <c r="AO29" s="699"/>
      <c r="AP29" s="699"/>
      <c r="AQ29" s="699"/>
      <c r="AR29" s="194"/>
      <c r="AS29" s="420" t="s">
        <v>855</v>
      </c>
      <c r="AT29" s="194"/>
      <c r="AU29" s="194"/>
      <c r="AV29" s="194"/>
      <c r="AW29" s="194"/>
      <c r="AX29" s="194"/>
      <c r="AY29" s="194"/>
      <c r="AZ29" s="194"/>
      <c r="BA29" s="194"/>
      <c r="BB29" s="194"/>
      <c r="BC29" s="194"/>
      <c r="BD29" s="365"/>
      <c r="BE29" s="365"/>
      <c r="BF29" s="365"/>
      <c r="BG29" s="365"/>
      <c r="BH29" s="365"/>
      <c r="BI29" s="365"/>
      <c r="BJ29" s="365"/>
      <c r="BK29" s="365"/>
      <c r="BL29" s="365"/>
      <c r="BM29" s="365"/>
      <c r="BN29" s="365"/>
      <c r="BO29" s="365"/>
      <c r="BP29" s="365"/>
      <c r="BQ29" s="365"/>
      <c r="BR29" s="365"/>
      <c r="BS29" s="365"/>
      <c r="BT29" s="365"/>
      <c r="BU29" s="365"/>
      <c r="BV29" s="365"/>
      <c r="BW29" s="365"/>
      <c r="BX29" s="365"/>
      <c r="BY29" s="365"/>
    </row>
    <row r="30" spans="2:77" ht="3.2" customHeight="1" x14ac:dyDescent="0.2">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194"/>
      <c r="AG30" s="387"/>
      <c r="AH30" s="368"/>
      <c r="AI30" s="368"/>
      <c r="AJ30" s="368"/>
      <c r="AK30" s="368"/>
      <c r="AL30" s="368"/>
      <c r="AM30" s="368"/>
      <c r="AN30" s="368"/>
      <c r="AO30" s="368"/>
      <c r="AP30" s="368"/>
      <c r="AQ30" s="387"/>
      <c r="AR30" s="194"/>
      <c r="AS30" s="420"/>
      <c r="AT30" s="194"/>
      <c r="AU30" s="194"/>
      <c r="AV30" s="194"/>
      <c r="AW30" s="194"/>
      <c r="AX30" s="194"/>
      <c r="AY30" s="194"/>
      <c r="AZ30" s="194"/>
      <c r="BA30" s="194"/>
      <c r="BB30" s="194"/>
      <c r="BC30" s="194"/>
      <c r="BD30" s="365"/>
      <c r="BE30" s="365"/>
      <c r="BF30" s="365"/>
      <c r="BG30" s="365"/>
      <c r="BH30" s="365"/>
      <c r="BI30" s="365"/>
      <c r="BJ30" s="365"/>
      <c r="BK30" s="365"/>
      <c r="BL30" s="365"/>
      <c r="BM30" s="365"/>
      <c r="BN30" s="365"/>
      <c r="BO30" s="365"/>
      <c r="BP30" s="365"/>
      <c r="BQ30" s="365"/>
      <c r="BR30" s="365"/>
      <c r="BS30" s="365"/>
      <c r="BT30" s="365"/>
      <c r="BU30" s="365"/>
      <c r="BV30" s="365"/>
      <c r="BW30" s="365"/>
      <c r="BX30" s="365"/>
      <c r="BY30" s="365"/>
    </row>
    <row r="31" spans="2:77" ht="10.15" customHeight="1" x14ac:dyDescent="0.2">
      <c r="B31" s="365" t="s">
        <v>988</v>
      </c>
      <c r="C31" s="365"/>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194"/>
      <c r="AG31" s="699">
        <f>'KdU-Berechnung'!AG30</f>
        <v>0</v>
      </c>
      <c r="AH31" s="699"/>
      <c r="AI31" s="699"/>
      <c r="AJ31" s="699"/>
      <c r="AK31" s="699"/>
      <c r="AL31" s="699"/>
      <c r="AM31" s="699"/>
      <c r="AN31" s="699"/>
      <c r="AO31" s="699"/>
      <c r="AP31" s="699"/>
      <c r="AQ31" s="699"/>
      <c r="AR31" s="194"/>
      <c r="AS31" s="420" t="s">
        <v>855</v>
      </c>
      <c r="AT31" s="194"/>
      <c r="AU31" s="194"/>
      <c r="AV31" s="194"/>
      <c r="AW31" s="194"/>
      <c r="AX31" s="194"/>
      <c r="AY31" s="194"/>
      <c r="AZ31" s="194"/>
      <c r="BA31" s="194"/>
      <c r="BB31" s="194"/>
      <c r="BC31" s="194"/>
      <c r="BD31" s="365"/>
      <c r="BE31" s="365"/>
      <c r="BF31" s="365"/>
      <c r="BG31" s="365"/>
      <c r="BH31" s="365"/>
      <c r="BI31" s="365"/>
      <c r="BJ31" s="365"/>
      <c r="BK31" s="365"/>
      <c r="BL31" s="365"/>
      <c r="BM31" s="365"/>
      <c r="BN31" s="365"/>
      <c r="BO31" s="365"/>
      <c r="BP31" s="365"/>
      <c r="BQ31" s="365"/>
      <c r="BR31" s="365"/>
      <c r="BS31" s="365"/>
      <c r="BT31" s="365"/>
      <c r="BU31" s="365"/>
      <c r="BV31" s="365"/>
      <c r="BW31" s="365"/>
      <c r="BX31" s="365"/>
      <c r="BY31" s="365"/>
    </row>
    <row r="32" spans="2:77" ht="3.2" customHeight="1" x14ac:dyDescent="0.2">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194"/>
      <c r="AG32" s="387"/>
      <c r="AH32" s="368"/>
      <c r="AI32" s="368"/>
      <c r="AJ32" s="368"/>
      <c r="AK32" s="368"/>
      <c r="AL32" s="368"/>
      <c r="AM32" s="368"/>
      <c r="AN32" s="368"/>
      <c r="AO32" s="368"/>
      <c r="AP32" s="368"/>
      <c r="AQ32" s="387"/>
      <c r="AR32" s="194"/>
      <c r="AS32" s="194"/>
      <c r="AT32" s="194"/>
      <c r="AU32" s="194"/>
      <c r="AV32" s="194"/>
      <c r="AW32" s="194"/>
      <c r="AX32" s="194"/>
      <c r="AY32" s="194"/>
      <c r="AZ32" s="194"/>
      <c r="BA32" s="194"/>
      <c r="BB32" s="194"/>
      <c r="BC32" s="194"/>
      <c r="BD32" s="365"/>
      <c r="BE32" s="365"/>
      <c r="BF32" s="365"/>
      <c r="BG32" s="365"/>
      <c r="BH32" s="365"/>
      <c r="BI32" s="365"/>
      <c r="BJ32" s="365"/>
      <c r="BK32" s="365"/>
      <c r="BL32" s="365"/>
      <c r="BM32" s="365"/>
      <c r="BN32" s="365"/>
      <c r="BO32" s="365"/>
      <c r="BP32" s="365"/>
      <c r="BQ32" s="365"/>
      <c r="BR32" s="365"/>
      <c r="BS32" s="365"/>
      <c r="BT32" s="365"/>
      <c r="BU32" s="365"/>
      <c r="BV32" s="365"/>
      <c r="BW32" s="365"/>
      <c r="BX32" s="365"/>
      <c r="BY32" s="365"/>
    </row>
    <row r="33" spans="2:77" ht="10.15" customHeight="1" x14ac:dyDescent="0.2">
      <c r="B33" s="365" t="s">
        <v>413</v>
      </c>
      <c r="C33" s="365"/>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194"/>
      <c r="AG33" s="699" t="str">
        <f>'KdU-Berechnung'!AG32</f>
        <v/>
      </c>
      <c r="AH33" s="699"/>
      <c r="AI33" s="699"/>
      <c r="AJ33" s="699"/>
      <c r="AK33" s="699"/>
      <c r="AL33" s="699"/>
      <c r="AM33" s="699"/>
      <c r="AN33" s="699"/>
      <c r="AO33" s="699"/>
      <c r="AP33" s="699"/>
      <c r="AQ33" s="699"/>
      <c r="AR33" s="194"/>
      <c r="AS33" s="194" t="s">
        <v>855</v>
      </c>
      <c r="AT33" s="194"/>
      <c r="AU33" s="194"/>
      <c r="AV33" s="194"/>
      <c r="AW33" s="194"/>
      <c r="AX33" s="194"/>
      <c r="AY33" s="194"/>
      <c r="AZ33" s="194"/>
      <c r="BA33" s="194"/>
      <c r="BB33" s="194"/>
      <c r="BC33" s="194"/>
      <c r="BD33" s="365"/>
      <c r="BE33" s="365"/>
      <c r="BF33" s="365"/>
      <c r="BG33" s="365"/>
      <c r="BH33" s="365"/>
      <c r="BI33" s="365"/>
      <c r="BJ33" s="365"/>
      <c r="BK33" s="365"/>
      <c r="BL33" s="365"/>
      <c r="BM33" s="365"/>
      <c r="BN33" s="365"/>
      <c r="BO33" s="365"/>
      <c r="BP33" s="365"/>
      <c r="BQ33" s="365"/>
      <c r="BR33" s="365"/>
      <c r="BS33" s="365"/>
      <c r="BT33" s="365"/>
      <c r="BU33" s="365"/>
      <c r="BV33" s="365"/>
      <c r="BW33" s="365"/>
      <c r="BX33" s="365"/>
      <c r="BY33" s="365"/>
    </row>
    <row r="34" spans="2:77" ht="3.2" customHeight="1" x14ac:dyDescent="0.2">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194"/>
      <c r="AG34" s="387"/>
      <c r="AH34" s="368"/>
      <c r="AI34" s="368"/>
      <c r="AJ34" s="368"/>
      <c r="AK34" s="368"/>
      <c r="AL34" s="368"/>
      <c r="AM34" s="368"/>
      <c r="AN34" s="368"/>
      <c r="AO34" s="368"/>
      <c r="AP34" s="368"/>
      <c r="AQ34" s="387"/>
      <c r="AR34" s="194"/>
      <c r="AS34" s="194"/>
      <c r="AT34" s="194"/>
      <c r="AU34" s="194"/>
      <c r="AV34" s="194"/>
      <c r="AW34" s="194"/>
      <c r="AX34" s="194"/>
      <c r="AY34" s="194"/>
      <c r="AZ34" s="194"/>
      <c r="BA34" s="194"/>
      <c r="BB34" s="194"/>
      <c r="BC34" s="194"/>
      <c r="BD34" s="365"/>
      <c r="BE34" s="365"/>
      <c r="BF34" s="365"/>
      <c r="BG34" s="365"/>
      <c r="BH34" s="365"/>
      <c r="BI34" s="365"/>
      <c r="BJ34" s="365"/>
      <c r="BK34" s="365"/>
      <c r="BL34" s="365"/>
      <c r="BM34" s="365"/>
      <c r="BN34" s="365"/>
      <c r="BO34" s="365"/>
      <c r="BP34" s="365"/>
      <c r="BQ34" s="365"/>
      <c r="BR34" s="365"/>
      <c r="BS34" s="365"/>
      <c r="BT34" s="365"/>
      <c r="BU34" s="365"/>
      <c r="BV34" s="365"/>
      <c r="BW34" s="365"/>
      <c r="BX34" s="365"/>
      <c r="BY34" s="365"/>
    </row>
    <row r="35" spans="2:77" ht="10.15" customHeight="1" x14ac:dyDescent="0.2">
      <c r="B35" s="365" t="s">
        <v>414</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194"/>
      <c r="AG35" s="698">
        <f>'KdU-Berechnung'!AG36:AQ36</f>
        <v>0</v>
      </c>
      <c r="AH35" s="698"/>
      <c r="AI35" s="698"/>
      <c r="AJ35" s="698"/>
      <c r="AK35" s="698"/>
      <c r="AL35" s="698"/>
      <c r="AM35" s="698"/>
      <c r="AN35" s="698"/>
      <c r="AO35" s="698"/>
      <c r="AP35" s="698"/>
      <c r="AQ35" s="698"/>
      <c r="AR35" s="194"/>
      <c r="AS35" s="194" t="s">
        <v>401</v>
      </c>
      <c r="AT35" s="194"/>
      <c r="AU35" s="194"/>
      <c r="AV35" s="194"/>
      <c r="AW35" s="194"/>
      <c r="AX35" s="194"/>
      <c r="AY35" s="194"/>
      <c r="AZ35" s="194"/>
      <c r="BA35" s="194"/>
      <c r="BB35" s="194"/>
      <c r="BC35" s="194"/>
      <c r="BD35" s="365"/>
      <c r="BE35" s="365"/>
      <c r="BF35" s="365"/>
      <c r="BG35" s="365"/>
      <c r="BH35" s="365"/>
      <c r="BI35" s="365"/>
      <c r="BJ35" s="365"/>
      <c r="BK35" s="365"/>
      <c r="BL35" s="365"/>
      <c r="BM35" s="365"/>
      <c r="BN35" s="365"/>
      <c r="BO35" s="365"/>
      <c r="BP35" s="365"/>
      <c r="BQ35" s="365"/>
      <c r="BR35" s="365"/>
      <c r="BS35" s="365"/>
      <c r="BT35" s="365"/>
      <c r="BU35" s="365"/>
      <c r="BV35" s="365"/>
      <c r="BW35" s="365"/>
      <c r="BX35" s="365"/>
      <c r="BY35" s="365"/>
    </row>
    <row r="36" spans="2:77" ht="3.2" customHeight="1" x14ac:dyDescent="0.2">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194"/>
      <c r="AG36" s="387"/>
      <c r="AH36" s="368"/>
      <c r="AI36" s="368"/>
      <c r="AJ36" s="368"/>
      <c r="AK36" s="368"/>
      <c r="AL36" s="368"/>
      <c r="AM36" s="368"/>
      <c r="AN36" s="368"/>
      <c r="AO36" s="368"/>
      <c r="AP36" s="368"/>
      <c r="AQ36" s="387"/>
      <c r="AR36" s="194"/>
      <c r="AS36" s="194"/>
      <c r="AT36" s="194"/>
      <c r="AU36" s="194"/>
      <c r="AV36" s="194"/>
      <c r="AW36" s="194"/>
      <c r="AX36" s="194"/>
      <c r="AY36" s="194"/>
      <c r="AZ36" s="194"/>
      <c r="BA36" s="194"/>
      <c r="BB36" s="194"/>
      <c r="BC36" s="194"/>
      <c r="BD36" s="365"/>
      <c r="BE36" s="365"/>
      <c r="BF36" s="365"/>
      <c r="BG36" s="365"/>
      <c r="BH36" s="365"/>
      <c r="BI36" s="365"/>
      <c r="BJ36" s="365"/>
      <c r="BK36" s="365"/>
      <c r="BL36" s="365"/>
      <c r="BM36" s="365"/>
      <c r="BN36" s="365"/>
      <c r="BO36" s="365"/>
      <c r="BP36" s="365"/>
      <c r="BQ36" s="365"/>
      <c r="BR36" s="365"/>
      <c r="BS36" s="365"/>
      <c r="BT36" s="365"/>
      <c r="BU36" s="365"/>
      <c r="BV36" s="365"/>
      <c r="BW36" s="365"/>
      <c r="BX36" s="365"/>
      <c r="BY36" s="365"/>
    </row>
    <row r="37" spans="2:77" ht="10.15" customHeight="1" x14ac:dyDescent="0.2">
      <c r="B37" s="365" t="s">
        <v>429</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194"/>
      <c r="AG37" s="698">
        <f>'KdU-Berechnung'!AG56</f>
        <v>0</v>
      </c>
      <c r="AH37" s="699"/>
      <c r="AI37" s="699"/>
      <c r="AJ37" s="699"/>
      <c r="AK37" s="699"/>
      <c r="AL37" s="699"/>
      <c r="AM37" s="699"/>
      <c r="AN37" s="699"/>
      <c r="AO37" s="699"/>
      <c r="AP37" s="699"/>
      <c r="AQ37" s="699"/>
      <c r="AR37" s="194"/>
      <c r="AS37" s="194" t="s">
        <v>401</v>
      </c>
      <c r="AT37" s="194"/>
      <c r="AU37" s="194"/>
      <c r="AV37" s="194"/>
      <c r="AW37" s="194"/>
      <c r="AX37" s="194"/>
      <c r="AY37" s="194"/>
      <c r="AZ37" s="194"/>
      <c r="BA37" s="194"/>
      <c r="BB37" s="194"/>
      <c r="BC37" s="194"/>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365"/>
    </row>
    <row r="38" spans="2:77" ht="8.1" customHeight="1" x14ac:dyDescent="0.2">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194"/>
      <c r="AG38" s="387"/>
      <c r="AH38" s="368"/>
      <c r="AI38" s="368"/>
      <c r="AJ38" s="368"/>
      <c r="AK38" s="368"/>
      <c r="AL38" s="368"/>
      <c r="AM38" s="368"/>
      <c r="AN38" s="368"/>
      <c r="AO38" s="368"/>
      <c r="AP38" s="368"/>
      <c r="AQ38" s="387"/>
      <c r="AR38" s="194"/>
      <c r="AS38" s="194"/>
      <c r="AT38" s="194"/>
      <c r="AU38" s="194"/>
      <c r="AV38" s="194"/>
      <c r="AW38" s="194"/>
      <c r="AX38" s="194"/>
      <c r="AY38" s="194"/>
      <c r="AZ38" s="194"/>
      <c r="BA38" s="194"/>
      <c r="BB38" s="194"/>
      <c r="BC38" s="194"/>
      <c r="BD38" s="365"/>
      <c r="BE38" s="365"/>
      <c r="BF38" s="365"/>
      <c r="BG38" s="365"/>
      <c r="BH38" s="365"/>
      <c r="BI38" s="365"/>
      <c r="BJ38" s="365"/>
      <c r="BK38" s="365"/>
      <c r="BL38" s="365"/>
      <c r="BM38" s="365"/>
      <c r="BN38" s="365"/>
      <c r="BO38" s="365"/>
      <c r="BP38" s="365"/>
      <c r="BQ38" s="365"/>
      <c r="BR38" s="365"/>
      <c r="BS38" s="365"/>
      <c r="BT38" s="365"/>
      <c r="BU38" s="365"/>
      <c r="BV38" s="365"/>
      <c r="BW38" s="365"/>
      <c r="BX38" s="365"/>
      <c r="BY38" s="365"/>
    </row>
    <row r="39" spans="2:77" ht="10.15" customHeight="1" x14ac:dyDescent="0.2">
      <c r="B39" s="366" t="s">
        <v>1061</v>
      </c>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194"/>
      <c r="AG39" s="387"/>
      <c r="AH39" s="368"/>
      <c r="AI39" s="368"/>
      <c r="AJ39" s="368"/>
      <c r="AK39" s="368"/>
      <c r="AL39" s="368"/>
      <c r="AM39" s="368"/>
      <c r="AN39" s="368"/>
      <c r="AO39" s="368"/>
      <c r="AP39" s="368"/>
      <c r="AQ39" s="387"/>
      <c r="AR39" s="194"/>
      <c r="AT39" s="194"/>
      <c r="AU39" s="422" t="str">
        <f>IF(Daten!K79&gt;0,"Auf BG entfallende Anteile (zus. Pers. zur Miete)","")</f>
        <v/>
      </c>
      <c r="AV39" s="194"/>
      <c r="AW39" s="194"/>
      <c r="AX39" s="194"/>
      <c r="AY39" s="194"/>
      <c r="AZ39" s="194"/>
      <c r="BA39" s="194"/>
      <c r="BB39" s="194"/>
      <c r="BC39" s="194"/>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365"/>
    </row>
    <row r="40" spans="2:77" ht="3.2" customHeight="1" x14ac:dyDescent="0.2">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194"/>
      <c r="AG40" s="387"/>
      <c r="AH40" s="368"/>
      <c r="AI40" s="368"/>
      <c r="AJ40" s="368"/>
      <c r="AK40" s="368"/>
      <c r="AL40" s="368"/>
      <c r="AM40" s="368"/>
      <c r="AN40" s="368"/>
      <c r="AO40" s="368"/>
      <c r="AP40" s="368"/>
      <c r="AQ40" s="387"/>
      <c r="AR40" s="194"/>
      <c r="AS40" s="194"/>
      <c r="AT40" s="194"/>
      <c r="AU40" s="194"/>
      <c r="AV40" s="194"/>
      <c r="AW40" s="194"/>
      <c r="AX40" s="194"/>
      <c r="AY40" s="194"/>
      <c r="AZ40" s="194"/>
      <c r="BA40" s="194"/>
      <c r="BB40" s="194"/>
      <c r="BC40" s="194"/>
      <c r="BD40" s="365"/>
      <c r="BE40" s="365"/>
      <c r="BF40" s="365"/>
      <c r="BG40" s="365"/>
      <c r="BH40" s="365"/>
      <c r="BI40" s="365"/>
      <c r="BJ40" s="365"/>
      <c r="BK40" s="365"/>
      <c r="BL40" s="365"/>
      <c r="BM40" s="365"/>
      <c r="BN40" s="365"/>
      <c r="BO40" s="365"/>
      <c r="BP40" s="365"/>
      <c r="BQ40" s="365"/>
      <c r="BR40" s="365"/>
      <c r="BS40" s="365"/>
      <c r="BT40" s="365"/>
      <c r="BU40" s="365"/>
      <c r="BV40" s="365"/>
      <c r="BW40" s="365"/>
      <c r="BX40" s="365"/>
      <c r="BY40" s="365"/>
    </row>
    <row r="41" spans="2:77" ht="10.15" customHeight="1" x14ac:dyDescent="0.2">
      <c r="B41" s="365" t="s">
        <v>1124</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194"/>
      <c r="AG41" s="698">
        <f>'KdU-Berechnung'!AG26</f>
        <v>0</v>
      </c>
      <c r="AH41" s="699"/>
      <c r="AI41" s="699"/>
      <c r="AJ41" s="699"/>
      <c r="AK41" s="699"/>
      <c r="AL41" s="699"/>
      <c r="AM41" s="699"/>
      <c r="AN41" s="699"/>
      <c r="AO41" s="699"/>
      <c r="AP41" s="699"/>
      <c r="AQ41" s="699"/>
      <c r="AR41" s="194"/>
      <c r="AS41" s="421" t="s">
        <v>853</v>
      </c>
      <c r="AU41" s="697" t="str">
        <f>IF(Daten!K79&gt;0,Daten!H83,"")</f>
        <v/>
      </c>
      <c r="AV41" s="697"/>
      <c r="AW41" s="697"/>
      <c r="AX41" s="697"/>
      <c r="AY41" s="697"/>
      <c r="AZ41" s="697"/>
      <c r="BA41" s="697"/>
      <c r="BB41" s="697"/>
      <c r="BC41" s="697"/>
      <c r="BD41" s="697"/>
      <c r="BE41" s="697"/>
      <c r="BF41" s="367"/>
      <c r="BG41" s="367" t="str">
        <f>Daten!S81</f>
        <v/>
      </c>
      <c r="BH41" s="367"/>
      <c r="BI41" s="367"/>
      <c r="BU41" s="367"/>
      <c r="BV41" s="367"/>
      <c r="BW41" s="367"/>
      <c r="BX41" s="367"/>
      <c r="BY41" s="367"/>
    </row>
    <row r="42" spans="2:77" ht="3.2" customHeight="1" x14ac:dyDescent="0.2">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194"/>
      <c r="AG42" s="387"/>
      <c r="AH42" s="368"/>
      <c r="AI42" s="368"/>
      <c r="AJ42" s="368"/>
      <c r="AK42" s="368"/>
      <c r="AL42" s="368"/>
      <c r="AM42" s="368"/>
      <c r="AN42" s="368"/>
      <c r="AO42" s="368"/>
      <c r="AP42" s="368"/>
      <c r="AQ42" s="387"/>
      <c r="AR42" s="194"/>
      <c r="AS42" s="421"/>
      <c r="AT42" s="387"/>
      <c r="AU42" s="395"/>
      <c r="AV42" s="395"/>
      <c r="AW42" s="395"/>
      <c r="AX42" s="395"/>
      <c r="AY42" s="395"/>
      <c r="AZ42" s="395"/>
      <c r="BA42" s="395"/>
      <c r="BB42" s="395"/>
      <c r="BC42" s="395"/>
      <c r="BD42" s="383"/>
      <c r="BE42" s="383"/>
      <c r="BF42" s="365"/>
      <c r="BG42" s="365"/>
      <c r="BH42" s="365"/>
      <c r="BI42" s="365"/>
      <c r="BJ42" s="365"/>
      <c r="BK42" s="365"/>
      <c r="BL42" s="365"/>
      <c r="BM42" s="365"/>
      <c r="BN42" s="365"/>
      <c r="BO42" s="365"/>
      <c r="BP42" s="365"/>
      <c r="BQ42" s="365"/>
      <c r="BR42" s="365"/>
      <c r="BS42" s="365"/>
      <c r="BT42" s="365"/>
      <c r="BU42" s="365"/>
      <c r="BV42" s="365"/>
      <c r="BW42" s="365"/>
      <c r="BX42" s="365"/>
      <c r="BY42" s="365"/>
    </row>
    <row r="43" spans="2:77" ht="10.15" customHeight="1" x14ac:dyDescent="0.2">
      <c r="B43" s="419" t="s">
        <v>1126</v>
      </c>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194"/>
      <c r="AG43" s="705">
        <f>'KdU-Berechnung'!AG70</f>
        <v>0</v>
      </c>
      <c r="AH43" s="706"/>
      <c r="AI43" s="706"/>
      <c r="AJ43" s="706"/>
      <c r="AK43" s="706"/>
      <c r="AL43" s="706"/>
      <c r="AM43" s="706"/>
      <c r="AN43" s="706"/>
      <c r="AO43" s="706"/>
      <c r="AP43" s="706"/>
      <c r="AQ43" s="706"/>
      <c r="AR43" s="194"/>
      <c r="AS43" s="425" t="s">
        <v>853</v>
      </c>
      <c r="AU43" s="720" t="str">
        <f>IF(Daten!K79&gt;0,Daten!H91,"")</f>
        <v/>
      </c>
      <c r="AV43" s="720"/>
      <c r="AW43" s="720"/>
      <c r="AX43" s="720"/>
      <c r="AY43" s="720"/>
      <c r="AZ43" s="720"/>
      <c r="BA43" s="720"/>
      <c r="BB43" s="720"/>
      <c r="BC43" s="720"/>
      <c r="BD43" s="720"/>
      <c r="BE43" s="720"/>
      <c r="BF43" s="365"/>
      <c r="BG43" s="365" t="str">
        <f>Daten!S81</f>
        <v/>
      </c>
      <c r="BH43" s="365"/>
      <c r="BI43" s="365"/>
      <c r="BJ43" s="365"/>
      <c r="BV43" s="365"/>
      <c r="BW43" s="365"/>
      <c r="BX43" s="365"/>
      <c r="BY43" s="365"/>
    </row>
    <row r="44" spans="2:77" ht="3.2" customHeight="1" x14ac:dyDescent="0.2">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194"/>
      <c r="AG44" s="387"/>
      <c r="AH44" s="368"/>
      <c r="AI44" s="368"/>
      <c r="AJ44" s="368"/>
      <c r="AK44" s="368"/>
      <c r="AL44" s="368"/>
      <c r="AM44" s="368"/>
      <c r="AN44" s="368"/>
      <c r="AO44" s="368"/>
      <c r="AP44" s="368"/>
      <c r="AQ44" s="387"/>
      <c r="AR44" s="194"/>
      <c r="AS44" s="421"/>
      <c r="AT44" s="387"/>
      <c r="AU44" s="395"/>
      <c r="AV44" s="395"/>
      <c r="AW44" s="395"/>
      <c r="AX44" s="395"/>
      <c r="AY44" s="395"/>
      <c r="AZ44" s="395"/>
      <c r="BA44" s="395"/>
      <c r="BB44" s="395"/>
      <c r="BC44" s="395"/>
      <c r="BD44" s="383"/>
      <c r="BE44" s="383"/>
      <c r="BF44" s="365"/>
      <c r="BG44" s="365"/>
      <c r="BH44" s="365"/>
      <c r="BI44" s="365"/>
      <c r="BJ44" s="365"/>
      <c r="BK44" s="365"/>
      <c r="BL44" s="365"/>
      <c r="BM44" s="365"/>
      <c r="BN44" s="365"/>
      <c r="BO44" s="365"/>
      <c r="BP44" s="365"/>
      <c r="BQ44" s="365"/>
      <c r="BR44" s="365"/>
      <c r="BS44" s="365"/>
      <c r="BT44" s="365"/>
      <c r="BU44" s="365"/>
      <c r="BV44" s="365"/>
      <c r="BW44" s="365"/>
      <c r="BX44" s="365"/>
      <c r="BY44" s="365"/>
    </row>
    <row r="45" spans="2:77" ht="10.15" customHeight="1" x14ac:dyDescent="0.2">
      <c r="B45" s="365" t="s">
        <v>1127</v>
      </c>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194"/>
      <c r="AG45" s="698">
        <f>'KdU-Berechnung'!AG40</f>
        <v>0</v>
      </c>
      <c r="AH45" s="699"/>
      <c r="AI45" s="699"/>
      <c r="AJ45" s="699"/>
      <c r="AK45" s="699"/>
      <c r="AL45" s="699"/>
      <c r="AM45" s="699"/>
      <c r="AN45" s="699"/>
      <c r="AO45" s="699"/>
      <c r="AP45" s="699"/>
      <c r="AQ45" s="699"/>
      <c r="AR45" s="194"/>
      <c r="AS45" s="421" t="s">
        <v>853</v>
      </c>
      <c r="AU45" s="697" t="str">
        <f>IF(Daten!K79&gt;0,Daten!H85,"")</f>
        <v/>
      </c>
      <c r="AV45" s="697"/>
      <c r="AW45" s="697"/>
      <c r="AX45" s="697"/>
      <c r="AY45" s="697"/>
      <c r="AZ45" s="697"/>
      <c r="BA45" s="697"/>
      <c r="BB45" s="697"/>
      <c r="BC45" s="697"/>
      <c r="BD45" s="697"/>
      <c r="BE45" s="697"/>
      <c r="BF45" s="365"/>
      <c r="BG45" s="365" t="str">
        <f>Daten!S81</f>
        <v/>
      </c>
      <c r="BH45" s="365"/>
      <c r="BI45" s="365"/>
      <c r="BJ45" s="365"/>
      <c r="BK45" s="365"/>
      <c r="BL45" s="365"/>
      <c r="BX45" s="365"/>
      <c r="BY45" s="365"/>
    </row>
    <row r="46" spans="2:77" ht="3.2" customHeight="1" x14ac:dyDescent="0.2">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194"/>
      <c r="AG46" s="387"/>
      <c r="AH46" s="368"/>
      <c r="AI46" s="368"/>
      <c r="AJ46" s="368"/>
      <c r="AK46" s="368"/>
      <c r="AL46" s="368"/>
      <c r="AM46" s="368"/>
      <c r="AN46" s="368"/>
      <c r="AO46" s="368"/>
      <c r="AP46" s="368"/>
      <c r="AQ46" s="387"/>
      <c r="AR46" s="194"/>
      <c r="AS46" s="421"/>
      <c r="AT46" s="387"/>
      <c r="AU46" s="395"/>
      <c r="AV46" s="395"/>
      <c r="AW46" s="395"/>
      <c r="AX46" s="395"/>
      <c r="AY46" s="395"/>
      <c r="AZ46" s="395"/>
      <c r="BA46" s="395"/>
      <c r="BB46" s="395"/>
      <c r="BC46" s="395"/>
      <c r="BD46" s="383"/>
      <c r="BE46" s="383"/>
      <c r="BF46" s="365"/>
      <c r="BG46" s="365"/>
      <c r="BH46" s="365"/>
      <c r="BI46" s="365"/>
      <c r="BJ46" s="365"/>
      <c r="BK46" s="365"/>
      <c r="BL46" s="365"/>
      <c r="BM46" s="365"/>
      <c r="BN46" s="365"/>
      <c r="BO46" s="365"/>
      <c r="BP46" s="365"/>
      <c r="BQ46" s="365"/>
      <c r="BR46" s="365"/>
      <c r="BS46" s="365"/>
      <c r="BT46" s="365"/>
      <c r="BU46" s="365"/>
      <c r="BV46" s="365"/>
      <c r="BW46" s="365"/>
      <c r="BX46" s="365"/>
      <c r="BY46" s="365"/>
    </row>
    <row r="47" spans="2:77" ht="10.15" customHeight="1" x14ac:dyDescent="0.2">
      <c r="B47" s="365" t="s">
        <v>1125</v>
      </c>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194"/>
      <c r="AG47" s="698">
        <f>'KdU-Berechnung'!AG60</f>
        <v>0</v>
      </c>
      <c r="AH47" s="699"/>
      <c r="AI47" s="699"/>
      <c r="AJ47" s="699"/>
      <c r="AK47" s="699"/>
      <c r="AL47" s="699"/>
      <c r="AM47" s="699"/>
      <c r="AN47" s="699"/>
      <c r="AO47" s="699"/>
      <c r="AP47" s="699"/>
      <c r="AQ47" s="699"/>
      <c r="AR47" s="194"/>
      <c r="AS47" s="421" t="s">
        <v>853</v>
      </c>
      <c r="AT47" s="387"/>
      <c r="AU47" s="697" t="str">
        <f>IF(Daten!K79&gt;0,Daten!Q83,"")</f>
        <v/>
      </c>
      <c r="AV47" s="697"/>
      <c r="AW47" s="697"/>
      <c r="AX47" s="697"/>
      <c r="AY47" s="697"/>
      <c r="AZ47" s="697"/>
      <c r="BA47" s="697"/>
      <c r="BB47" s="697"/>
      <c r="BC47" s="697"/>
      <c r="BD47" s="697"/>
      <c r="BE47" s="697"/>
      <c r="BF47" s="365"/>
      <c r="BG47" s="365" t="str">
        <f>Daten!S81</f>
        <v/>
      </c>
      <c r="BH47" s="365"/>
      <c r="BI47" s="365"/>
      <c r="BJ47" s="365"/>
      <c r="BK47" s="365"/>
      <c r="BL47" s="365"/>
      <c r="BM47" s="365"/>
      <c r="BN47" s="365"/>
      <c r="BO47" s="365"/>
      <c r="BP47" s="365"/>
      <c r="BQ47" s="365"/>
      <c r="BR47" s="365"/>
      <c r="BS47" s="365"/>
      <c r="BT47" s="365"/>
      <c r="BU47" s="365"/>
      <c r="BV47" s="365"/>
      <c r="BW47" s="365"/>
      <c r="BX47" s="365"/>
      <c r="BY47" s="365"/>
    </row>
    <row r="48" spans="2:77" ht="3.2" customHeight="1" x14ac:dyDescent="0.2">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194"/>
      <c r="AG48" s="387"/>
      <c r="AH48" s="368"/>
      <c r="AI48" s="368"/>
      <c r="AJ48" s="368"/>
      <c r="AK48" s="368"/>
      <c r="AL48" s="368"/>
      <c r="AM48" s="368"/>
      <c r="AN48" s="368"/>
      <c r="AO48" s="368"/>
      <c r="AP48" s="368"/>
      <c r="AQ48" s="387"/>
      <c r="AR48" s="194"/>
      <c r="AS48" s="421"/>
      <c r="AT48" s="387"/>
      <c r="AU48" s="395"/>
      <c r="AV48" s="395"/>
      <c r="AW48" s="395"/>
      <c r="AX48" s="395"/>
      <c r="AY48" s="395"/>
      <c r="AZ48" s="395"/>
      <c r="BA48" s="395"/>
      <c r="BB48" s="395"/>
      <c r="BC48" s="395"/>
      <c r="BD48" s="396"/>
      <c r="BE48" s="396"/>
      <c r="BF48" s="365"/>
      <c r="BG48" s="365"/>
      <c r="BH48" s="365"/>
      <c r="BI48" s="365"/>
      <c r="BJ48" s="365"/>
      <c r="BK48" s="365"/>
      <c r="BL48" s="365"/>
      <c r="BM48" s="365"/>
      <c r="BN48" s="365"/>
      <c r="BO48" s="365"/>
      <c r="BP48" s="365"/>
      <c r="BQ48" s="365"/>
      <c r="BR48" s="365"/>
      <c r="BS48" s="365"/>
      <c r="BT48" s="365"/>
      <c r="BU48" s="365"/>
      <c r="BV48" s="365"/>
      <c r="BW48" s="365"/>
      <c r="BX48" s="365"/>
      <c r="BY48" s="365"/>
    </row>
    <row r="49" spans="2:77" ht="10.15" customHeight="1" x14ac:dyDescent="0.2">
      <c r="B49" s="365" t="s">
        <v>1128</v>
      </c>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194"/>
      <c r="AG49" s="698">
        <f>'KdU-Berechnung'!AG62</f>
        <v>0</v>
      </c>
      <c r="AH49" s="699"/>
      <c r="AI49" s="699"/>
      <c r="AJ49" s="699"/>
      <c r="AK49" s="699"/>
      <c r="AL49" s="699"/>
      <c r="AM49" s="699"/>
      <c r="AN49" s="699"/>
      <c r="AO49" s="699"/>
      <c r="AP49" s="699"/>
      <c r="AQ49" s="699"/>
      <c r="AR49" s="194"/>
      <c r="AS49" s="421" t="s">
        <v>853</v>
      </c>
      <c r="AT49" s="387"/>
      <c r="AU49" s="697" t="str">
        <f>IF(Daten!K79&gt;0,Daten!Q85,"")</f>
        <v/>
      </c>
      <c r="AV49" s="697"/>
      <c r="AW49" s="697"/>
      <c r="AX49" s="697"/>
      <c r="AY49" s="697"/>
      <c r="AZ49" s="697"/>
      <c r="BA49" s="697"/>
      <c r="BB49" s="697"/>
      <c r="BC49" s="697"/>
      <c r="BD49" s="697"/>
      <c r="BE49" s="697"/>
      <c r="BF49" s="365"/>
      <c r="BG49" s="365" t="str">
        <f>Daten!S81</f>
        <v/>
      </c>
      <c r="BH49" s="365"/>
      <c r="BI49" s="365"/>
      <c r="BJ49" s="365"/>
      <c r="BK49" s="365"/>
      <c r="BL49" s="365"/>
      <c r="BM49" s="365"/>
      <c r="BN49" s="365"/>
      <c r="BO49" s="365"/>
      <c r="BP49" s="365"/>
      <c r="BQ49" s="365"/>
      <c r="BR49" s="365"/>
      <c r="BS49" s="365"/>
      <c r="BT49" s="365"/>
      <c r="BU49" s="365"/>
      <c r="BV49" s="365"/>
      <c r="BW49" s="365"/>
      <c r="BX49" s="365"/>
      <c r="BY49" s="365"/>
    </row>
    <row r="50" spans="2:77" ht="3.2" customHeight="1" x14ac:dyDescent="0.2">
      <c r="B50" s="365"/>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194"/>
      <c r="AG50" s="387"/>
      <c r="AH50" s="368"/>
      <c r="AI50" s="368"/>
      <c r="AJ50" s="368"/>
      <c r="AK50" s="368"/>
      <c r="AL50" s="368"/>
      <c r="AM50" s="368"/>
      <c r="AN50" s="368"/>
      <c r="AO50" s="368"/>
      <c r="AP50" s="368"/>
      <c r="AQ50" s="387"/>
      <c r="AR50" s="194"/>
      <c r="AS50" s="421"/>
      <c r="AT50" s="387"/>
      <c r="AU50" s="395"/>
      <c r="AV50" s="395"/>
      <c r="AW50" s="395"/>
      <c r="AX50" s="395"/>
      <c r="AY50" s="395"/>
      <c r="AZ50" s="395"/>
      <c r="BA50" s="395"/>
      <c r="BB50" s="395"/>
      <c r="BC50" s="395"/>
      <c r="BD50" s="396"/>
      <c r="BE50" s="396"/>
      <c r="BF50" s="365"/>
      <c r="BG50" s="365"/>
      <c r="BH50" s="365"/>
      <c r="BI50" s="365"/>
      <c r="BJ50" s="365"/>
      <c r="BK50" s="365"/>
      <c r="BL50" s="365"/>
      <c r="BM50" s="365"/>
      <c r="BN50" s="365"/>
      <c r="BO50" s="365"/>
      <c r="BP50" s="365"/>
      <c r="BQ50" s="365"/>
      <c r="BR50" s="365"/>
      <c r="BS50" s="365"/>
      <c r="BT50" s="365"/>
      <c r="BU50" s="365"/>
      <c r="BV50" s="365"/>
      <c r="BW50" s="365"/>
      <c r="BX50" s="365"/>
      <c r="BY50" s="365"/>
    </row>
    <row r="51" spans="2:77" ht="10.15" customHeight="1" x14ac:dyDescent="0.2">
      <c r="B51" s="365" t="s">
        <v>1129</v>
      </c>
      <c r="C51" s="365"/>
      <c r="D51" s="365"/>
      <c r="E51" s="365"/>
      <c r="F51" s="365"/>
      <c r="G51" s="365"/>
      <c r="H51" s="365"/>
      <c r="I51" s="365"/>
      <c r="J51" s="365"/>
      <c r="K51" s="365"/>
      <c r="L51" s="696">
        <f>'KdU-Berechnung'!S64</f>
        <v>0</v>
      </c>
      <c r="M51" s="696"/>
      <c r="N51" s="696"/>
      <c r="O51" s="696"/>
      <c r="P51" s="696"/>
      <c r="Q51" s="696"/>
      <c r="R51" s="696"/>
      <c r="S51" s="696"/>
      <c r="T51" s="696"/>
      <c r="U51" s="696"/>
      <c r="V51" s="696"/>
      <c r="W51" s="696"/>
      <c r="X51" s="696"/>
      <c r="Y51" s="696"/>
      <c r="Z51" s="696"/>
      <c r="AA51" s="696"/>
      <c r="AB51" s="696"/>
      <c r="AC51" s="696"/>
      <c r="AD51" s="696"/>
      <c r="AE51" s="365"/>
      <c r="AF51" s="194"/>
      <c r="AG51" s="698">
        <f>'KdU-Berechnung'!AG64</f>
        <v>0</v>
      </c>
      <c r="AH51" s="699"/>
      <c r="AI51" s="699"/>
      <c r="AJ51" s="699"/>
      <c r="AK51" s="699"/>
      <c r="AL51" s="699"/>
      <c r="AM51" s="699"/>
      <c r="AN51" s="699"/>
      <c r="AO51" s="699"/>
      <c r="AP51" s="699"/>
      <c r="AQ51" s="699"/>
      <c r="AR51" s="194"/>
      <c r="AS51" s="421" t="s">
        <v>853</v>
      </c>
      <c r="AT51" s="387"/>
      <c r="AU51" s="697" t="str">
        <f>IF(Daten!K79&gt;0,Daten!Q87,"")</f>
        <v/>
      </c>
      <c r="AV51" s="697"/>
      <c r="AW51" s="697"/>
      <c r="AX51" s="697"/>
      <c r="AY51" s="697"/>
      <c r="AZ51" s="697"/>
      <c r="BA51" s="697"/>
      <c r="BB51" s="697"/>
      <c r="BC51" s="697"/>
      <c r="BD51" s="697"/>
      <c r="BE51" s="697"/>
      <c r="BF51" s="365"/>
      <c r="BG51" s="365" t="str">
        <f>Daten!S81</f>
        <v/>
      </c>
      <c r="BH51" s="365"/>
      <c r="BI51" s="365"/>
      <c r="BJ51" s="365"/>
      <c r="BK51" s="365"/>
      <c r="BL51" s="365"/>
      <c r="BM51" s="365"/>
      <c r="BN51" s="365"/>
      <c r="BO51" s="365"/>
      <c r="BP51" s="365"/>
      <c r="BQ51" s="365"/>
      <c r="BR51" s="365"/>
      <c r="BS51" s="365"/>
      <c r="BT51" s="365"/>
      <c r="BU51" s="365"/>
      <c r="BV51" s="365"/>
      <c r="BW51" s="365"/>
      <c r="BX51" s="365"/>
      <c r="BY51" s="365"/>
    </row>
    <row r="52" spans="2:77" ht="3.2" customHeight="1" x14ac:dyDescent="0.2">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194"/>
      <c r="AG52" s="387"/>
      <c r="AH52" s="368"/>
      <c r="AI52" s="368"/>
      <c r="AJ52" s="368"/>
      <c r="AK52" s="368"/>
      <c r="AL52" s="368"/>
      <c r="AM52" s="368"/>
      <c r="AN52" s="368"/>
      <c r="AO52" s="368"/>
      <c r="AP52" s="368"/>
      <c r="AQ52" s="387"/>
      <c r="AR52" s="194"/>
      <c r="AS52" s="421"/>
      <c r="AT52" s="387"/>
      <c r="AU52" s="395"/>
      <c r="AV52" s="395"/>
      <c r="AW52" s="395"/>
      <c r="AX52" s="395"/>
      <c r="AY52" s="395"/>
      <c r="AZ52" s="395"/>
      <c r="BA52" s="395"/>
      <c r="BB52" s="395"/>
      <c r="BC52" s="395"/>
      <c r="BD52" s="396"/>
      <c r="BE52" s="396"/>
      <c r="BF52" s="365"/>
      <c r="BG52" s="365"/>
      <c r="BH52" s="365"/>
      <c r="BI52" s="365"/>
      <c r="BJ52" s="365"/>
      <c r="BK52" s="365"/>
      <c r="BL52" s="365"/>
      <c r="BM52" s="365"/>
      <c r="BN52" s="365"/>
      <c r="BO52" s="365"/>
      <c r="BP52" s="365"/>
      <c r="BQ52" s="365"/>
      <c r="BR52" s="365"/>
      <c r="BS52" s="365"/>
      <c r="BT52" s="365"/>
      <c r="BU52" s="365"/>
      <c r="BV52" s="365"/>
      <c r="BW52" s="365"/>
      <c r="BX52" s="365"/>
      <c r="BY52" s="365"/>
    </row>
    <row r="53" spans="2:77" ht="10.15" customHeight="1" x14ac:dyDescent="0.2">
      <c r="B53" s="365" t="s">
        <v>1129</v>
      </c>
      <c r="C53" s="365"/>
      <c r="D53" s="365"/>
      <c r="E53" s="365"/>
      <c r="F53" s="365"/>
      <c r="G53" s="365"/>
      <c r="H53" s="365"/>
      <c r="I53" s="365"/>
      <c r="J53" s="365"/>
      <c r="K53" s="365"/>
      <c r="L53" s="696">
        <f>'KdU-Berechnung'!S66</f>
        <v>0</v>
      </c>
      <c r="M53" s="696"/>
      <c r="N53" s="696"/>
      <c r="O53" s="696"/>
      <c r="P53" s="696"/>
      <c r="Q53" s="696"/>
      <c r="R53" s="696"/>
      <c r="S53" s="696"/>
      <c r="T53" s="696"/>
      <c r="U53" s="696"/>
      <c r="V53" s="696"/>
      <c r="W53" s="696"/>
      <c r="X53" s="696"/>
      <c r="Y53" s="696"/>
      <c r="Z53" s="696"/>
      <c r="AA53" s="696"/>
      <c r="AB53" s="696"/>
      <c r="AC53" s="696"/>
      <c r="AD53" s="696"/>
      <c r="AE53" s="696"/>
      <c r="AF53" s="194"/>
      <c r="AG53" s="698">
        <f>'KdU-Berechnung'!AG66</f>
        <v>0</v>
      </c>
      <c r="AH53" s="699"/>
      <c r="AI53" s="699"/>
      <c r="AJ53" s="699"/>
      <c r="AK53" s="699"/>
      <c r="AL53" s="699"/>
      <c r="AM53" s="699"/>
      <c r="AN53" s="699"/>
      <c r="AO53" s="699"/>
      <c r="AP53" s="699"/>
      <c r="AQ53" s="699"/>
      <c r="AR53" s="194"/>
      <c r="AS53" s="421" t="s">
        <v>853</v>
      </c>
      <c r="AT53" s="387"/>
      <c r="AU53" s="697" t="str">
        <f>IF(Daten!K79&gt;0,Daten!Q89,"")</f>
        <v/>
      </c>
      <c r="AV53" s="697"/>
      <c r="AW53" s="697"/>
      <c r="AX53" s="697"/>
      <c r="AY53" s="697"/>
      <c r="AZ53" s="697"/>
      <c r="BA53" s="697"/>
      <c r="BB53" s="697"/>
      <c r="BC53" s="697"/>
      <c r="BD53" s="697"/>
      <c r="BE53" s="697"/>
      <c r="BF53" s="365"/>
      <c r="BG53" s="365" t="str">
        <f>Daten!S81</f>
        <v/>
      </c>
      <c r="BH53" s="365"/>
      <c r="BI53" s="365"/>
      <c r="BJ53" s="365"/>
      <c r="BK53" s="365"/>
      <c r="BL53" s="365"/>
      <c r="BM53" s="365"/>
      <c r="BN53" s="365"/>
      <c r="BO53" s="365"/>
      <c r="BP53" s="365"/>
      <c r="BQ53" s="365"/>
      <c r="BR53" s="365"/>
      <c r="BS53" s="365"/>
      <c r="BT53" s="365"/>
      <c r="BU53" s="365"/>
      <c r="BV53" s="365"/>
      <c r="BW53" s="365"/>
      <c r="BX53" s="365"/>
      <c r="BY53" s="365"/>
    </row>
    <row r="54" spans="2:77" ht="3.2" customHeight="1" x14ac:dyDescent="0.2">
      <c r="B54" s="365"/>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194"/>
      <c r="AG54" s="387"/>
      <c r="AH54" s="368"/>
      <c r="AI54" s="368"/>
      <c r="AJ54" s="368"/>
      <c r="AK54" s="368"/>
      <c r="AL54" s="368"/>
      <c r="AM54" s="368"/>
      <c r="AN54" s="368"/>
      <c r="AO54" s="368"/>
      <c r="AP54" s="368"/>
      <c r="AQ54" s="387"/>
      <c r="AR54" s="194"/>
      <c r="AS54" s="421"/>
      <c r="AT54" s="387"/>
      <c r="AU54" s="395"/>
      <c r="AV54" s="395"/>
      <c r="AW54" s="395"/>
      <c r="AX54" s="395"/>
      <c r="AY54" s="395"/>
      <c r="AZ54" s="395"/>
      <c r="BA54" s="395"/>
      <c r="BB54" s="395"/>
      <c r="BC54" s="395"/>
      <c r="BD54" s="383"/>
      <c r="BE54" s="383"/>
      <c r="BF54" s="365"/>
      <c r="BG54" s="365"/>
      <c r="BH54" s="365"/>
      <c r="BI54" s="365"/>
      <c r="BJ54" s="365"/>
      <c r="BK54" s="365"/>
      <c r="BL54" s="365"/>
      <c r="BM54" s="365"/>
      <c r="BN54" s="365"/>
      <c r="BO54" s="365"/>
      <c r="BP54" s="365"/>
      <c r="BQ54" s="365"/>
      <c r="BR54" s="365"/>
      <c r="BS54" s="365"/>
      <c r="BT54" s="365"/>
      <c r="BU54" s="365"/>
      <c r="BV54" s="365"/>
      <c r="BW54" s="365"/>
      <c r="BX54" s="365"/>
      <c r="BY54" s="365"/>
    </row>
    <row r="55" spans="2:77" ht="10.15" customHeight="1" x14ac:dyDescent="0.2">
      <c r="B55" s="365" t="s">
        <v>1130</v>
      </c>
      <c r="C55" s="365"/>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194"/>
      <c r="AG55" s="698">
        <f>'KdU-Berechnung'!AG68</f>
        <v>0</v>
      </c>
      <c r="AH55" s="699"/>
      <c r="AI55" s="699"/>
      <c r="AJ55" s="699"/>
      <c r="AK55" s="699"/>
      <c r="AL55" s="699"/>
      <c r="AM55" s="699"/>
      <c r="AN55" s="699"/>
      <c r="AO55" s="699"/>
      <c r="AP55" s="699"/>
      <c r="AQ55" s="699"/>
      <c r="AR55" s="194"/>
      <c r="AS55" s="421" t="s">
        <v>853</v>
      </c>
      <c r="AU55" s="697" t="str">
        <f>IF(Daten!K79&gt;0,Daten!H89,"")</f>
        <v/>
      </c>
      <c r="AV55" s="697"/>
      <c r="AW55" s="697"/>
      <c r="AX55" s="697"/>
      <c r="AY55" s="697"/>
      <c r="AZ55" s="697"/>
      <c r="BA55" s="697"/>
      <c r="BB55" s="697"/>
      <c r="BC55" s="697"/>
      <c r="BD55" s="697"/>
      <c r="BE55" s="697"/>
      <c r="BG55" s="365" t="str">
        <f>Daten!S81</f>
        <v/>
      </c>
      <c r="BH55" s="365"/>
      <c r="BI55" s="365"/>
      <c r="BJ55" s="365"/>
      <c r="BK55" s="365"/>
      <c r="BL55" s="365"/>
      <c r="BM55" s="365"/>
      <c r="BN55" s="365"/>
    </row>
    <row r="56" spans="2:77" ht="3.2" customHeight="1" x14ac:dyDescent="0.2">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194"/>
      <c r="AG56" s="387"/>
      <c r="AH56" s="368"/>
      <c r="AI56" s="368"/>
      <c r="AJ56" s="368"/>
      <c r="AK56" s="368"/>
      <c r="AL56" s="368"/>
      <c r="AM56" s="368"/>
      <c r="AN56" s="368"/>
      <c r="AO56" s="368"/>
      <c r="AP56" s="368"/>
      <c r="AQ56" s="387"/>
      <c r="AR56" s="194"/>
      <c r="AS56" s="421"/>
      <c r="AT56" s="387"/>
      <c r="AU56" s="395"/>
      <c r="AV56" s="395"/>
      <c r="AW56" s="395"/>
      <c r="AX56" s="395"/>
      <c r="AY56" s="395"/>
      <c r="AZ56" s="395"/>
      <c r="BA56" s="395"/>
      <c r="BB56" s="395"/>
      <c r="BC56" s="395"/>
      <c r="BD56" s="383"/>
      <c r="BE56" s="383"/>
      <c r="BF56" s="365"/>
      <c r="BG56" s="365"/>
      <c r="BH56" s="365"/>
      <c r="BI56" s="365"/>
      <c r="BJ56" s="365"/>
      <c r="BK56" s="365"/>
      <c r="BL56" s="365"/>
      <c r="BM56" s="365"/>
      <c r="BN56" s="365"/>
      <c r="BO56" s="365"/>
      <c r="BP56" s="365"/>
      <c r="BQ56" s="365"/>
      <c r="BR56" s="365"/>
      <c r="BS56" s="365"/>
      <c r="BT56" s="365"/>
      <c r="BU56" s="365"/>
      <c r="BV56" s="365"/>
      <c r="BW56" s="365"/>
      <c r="BX56" s="365"/>
      <c r="BY56" s="365"/>
    </row>
    <row r="57" spans="2:77" ht="10.15" customHeight="1" x14ac:dyDescent="0.2">
      <c r="B57" s="365" t="s">
        <v>1131</v>
      </c>
      <c r="C57" s="365"/>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8" t="e">
        <f>IF(AG57&gt;0,"("&amp;Daten!G515&amp;" "&amp;Daten!H515&amp;")","")</f>
        <v>#N/A</v>
      </c>
      <c r="AC57" s="365"/>
      <c r="AD57" s="365"/>
      <c r="AE57" s="365"/>
      <c r="AF57" s="194"/>
      <c r="AG57" s="698" t="e">
        <f>Daten!E513</f>
        <v>#N/A</v>
      </c>
      <c r="AH57" s="698"/>
      <c r="AI57" s="698"/>
      <c r="AJ57" s="698"/>
      <c r="AK57" s="698"/>
      <c r="AL57" s="698"/>
      <c r="AM57" s="698"/>
      <c r="AN57" s="698"/>
      <c r="AO57" s="698"/>
      <c r="AP57" s="698"/>
      <c r="AQ57" s="698"/>
      <c r="AR57" s="194"/>
      <c r="AS57" s="421" t="s">
        <v>853</v>
      </c>
      <c r="AT57" s="387"/>
      <c r="AU57" s="395"/>
      <c r="AV57" s="395"/>
      <c r="AW57" s="395"/>
      <c r="AX57" s="395"/>
      <c r="AY57" s="395"/>
      <c r="AZ57" s="395"/>
      <c r="BA57" s="395"/>
      <c r="BB57" s="395"/>
      <c r="BC57" s="395"/>
      <c r="BD57" s="393"/>
      <c r="BE57" s="393"/>
      <c r="BF57" s="195"/>
      <c r="BG57" s="195"/>
      <c r="BH57" s="195"/>
      <c r="BI57" s="195"/>
      <c r="BJ57" s="195"/>
      <c r="BK57" s="195"/>
      <c r="BL57" s="195"/>
      <c r="BM57" s="195"/>
      <c r="BN57" s="195"/>
      <c r="BO57" s="195"/>
      <c r="BP57" s="195"/>
      <c r="BQ57" s="195"/>
      <c r="BR57" s="195"/>
      <c r="BS57" s="195"/>
      <c r="BT57" s="195"/>
      <c r="BU57" s="195"/>
      <c r="BV57" s="195"/>
      <c r="BW57" s="195"/>
      <c r="BX57" s="195"/>
      <c r="BY57" s="195"/>
    </row>
    <row r="58" spans="2:77" ht="12.2" customHeight="1" x14ac:dyDescent="0.2">
      <c r="B58" s="365"/>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194"/>
      <c r="AG58" s="194"/>
      <c r="AH58" s="365"/>
      <c r="AI58" s="365"/>
      <c r="AJ58" s="365"/>
      <c r="AK58" s="365"/>
      <c r="AL58" s="365"/>
      <c r="AM58" s="365"/>
      <c r="AN58" s="365"/>
      <c r="AO58" s="365"/>
      <c r="AP58" s="365"/>
      <c r="AQ58" s="194"/>
      <c r="AR58" s="194"/>
      <c r="AS58" s="194"/>
      <c r="AT58" s="194"/>
      <c r="AU58" s="194"/>
      <c r="AV58" s="194"/>
      <c r="AW58" s="194"/>
      <c r="AX58" s="194"/>
      <c r="AY58" s="194"/>
      <c r="AZ58" s="194"/>
      <c r="BA58" s="194"/>
      <c r="BB58" s="194"/>
      <c r="BC58" s="194"/>
      <c r="BD58" s="365"/>
      <c r="BE58" s="365"/>
      <c r="BF58" s="365"/>
      <c r="BG58" s="365"/>
      <c r="BH58" s="365"/>
      <c r="BI58" s="365"/>
      <c r="BJ58" s="365"/>
      <c r="BK58" s="365"/>
      <c r="BL58" s="365"/>
      <c r="BM58" s="365"/>
      <c r="BN58" s="365"/>
      <c r="BO58" s="365"/>
      <c r="BP58" s="365"/>
      <c r="BQ58" s="365"/>
      <c r="BR58" s="365"/>
      <c r="BS58" s="365"/>
      <c r="BT58" s="365"/>
      <c r="BU58" s="365"/>
      <c r="BV58" s="365"/>
      <c r="BW58" s="365"/>
      <c r="BX58" s="365"/>
      <c r="BY58" s="365"/>
    </row>
    <row r="59" spans="2:77" ht="15" x14ac:dyDescent="0.25">
      <c r="B59" s="384" t="s">
        <v>1065</v>
      </c>
    </row>
    <row r="60" spans="2:77" ht="8.1" customHeight="1" x14ac:dyDescent="0.2"/>
    <row r="61" spans="2:77" x14ac:dyDescent="0.2">
      <c r="B61" s="369" t="s">
        <v>1063</v>
      </c>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190"/>
      <c r="AG61" s="712">
        <f>Daten!E504</f>
        <v>0</v>
      </c>
      <c r="AH61" s="712"/>
      <c r="AI61" s="712"/>
      <c r="AJ61" s="712"/>
      <c r="AK61" s="712"/>
      <c r="AL61" s="712"/>
      <c r="AM61" s="712"/>
      <c r="AN61" s="712"/>
      <c r="AO61" s="712"/>
      <c r="AP61" s="712"/>
      <c r="AQ61" s="712"/>
      <c r="AR61" s="190"/>
      <c r="AS61" s="190" t="s">
        <v>371</v>
      </c>
    </row>
    <row r="62" spans="2:77" ht="5.0999999999999996" customHeight="1" x14ac:dyDescent="0.2">
      <c r="B62" s="369"/>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190"/>
      <c r="AG62" s="190"/>
      <c r="AH62" s="369"/>
      <c r="AI62" s="369"/>
      <c r="AJ62" s="369"/>
      <c r="AK62" s="369"/>
      <c r="AL62" s="369"/>
      <c r="AM62" s="369"/>
      <c r="AN62" s="369"/>
      <c r="AO62" s="369"/>
      <c r="AP62" s="369"/>
      <c r="AQ62" s="190"/>
      <c r="AR62" s="190"/>
      <c r="AS62" s="190"/>
    </row>
    <row r="63" spans="2:77" s="369" customFormat="1" x14ac:dyDescent="0.2">
      <c r="B63" s="369" t="s">
        <v>1064</v>
      </c>
      <c r="D63" s="371"/>
      <c r="E63" s="371"/>
      <c r="AF63" s="190"/>
      <c r="AG63" s="712" t="e">
        <f>Daten!E511</f>
        <v>#N/A</v>
      </c>
      <c r="AH63" s="713"/>
      <c r="AI63" s="713"/>
      <c r="AJ63" s="713"/>
      <c r="AK63" s="713"/>
      <c r="AL63" s="713"/>
      <c r="AM63" s="713"/>
      <c r="AN63" s="713"/>
      <c r="AO63" s="713"/>
      <c r="AP63" s="713"/>
      <c r="AQ63" s="713"/>
      <c r="AR63" s="190"/>
      <c r="AS63" s="190" t="s">
        <v>371</v>
      </c>
      <c r="AT63" s="190"/>
      <c r="AU63" s="190"/>
      <c r="AV63" s="190"/>
      <c r="AW63" s="190"/>
      <c r="AX63" s="305" t="e">
        <f>IF(Daten!E513&gt;0,"("&amp;TEXT(Daten!E372,"0,00")&amp;" "&amp;"€"&amp;" "&amp;Daten!D372&amp;" "&amp;"zzgl."&amp;" "&amp;TEXT(Daten!E513,"0,00")&amp;" "&amp;Daten!G511,"")</f>
        <v>#N/A</v>
      </c>
      <c r="AY63" s="190"/>
      <c r="AZ63" s="190"/>
      <c r="BA63" s="190"/>
      <c r="BB63" s="190"/>
      <c r="BC63" s="190"/>
    </row>
    <row r="64" spans="2:77" s="369" customFormat="1" ht="2.1" customHeight="1" x14ac:dyDescent="0.2">
      <c r="D64" s="371"/>
      <c r="E64" s="371"/>
      <c r="AF64" s="190"/>
      <c r="AG64" s="574"/>
      <c r="AH64" s="575"/>
      <c r="AI64" s="575"/>
      <c r="AJ64" s="575"/>
      <c r="AK64" s="575"/>
      <c r="AL64" s="575"/>
      <c r="AM64" s="575"/>
      <c r="AN64" s="575"/>
      <c r="AO64" s="575"/>
      <c r="AP64" s="575"/>
      <c r="AQ64" s="575"/>
      <c r="AR64" s="190"/>
      <c r="AS64" s="190"/>
      <c r="AT64" s="190"/>
      <c r="AU64" s="190"/>
      <c r="AV64" s="190"/>
      <c r="AW64" s="190"/>
      <c r="AX64" s="305"/>
      <c r="AY64" s="190"/>
      <c r="AZ64" s="190"/>
      <c r="BA64" s="190"/>
      <c r="BB64" s="190"/>
      <c r="BC64" s="190"/>
    </row>
    <row r="65" spans="2:58" s="369" customFormat="1" ht="11.1" customHeight="1" x14ac:dyDescent="0.2">
      <c r="B65" s="365" t="e">
        <f>"(Datengrundlage:"&amp;" "&amp;Daten!F285&amp;")"</f>
        <v>#N/A</v>
      </c>
      <c r="D65" s="371"/>
      <c r="E65" s="371"/>
      <c r="AF65" s="190"/>
      <c r="AG65" s="574"/>
      <c r="AH65" s="575"/>
      <c r="AI65" s="575"/>
      <c r="AJ65" s="575"/>
      <c r="AK65" s="575"/>
      <c r="AL65" s="575"/>
      <c r="AM65" s="575"/>
      <c r="AN65" s="575"/>
      <c r="AO65" s="575"/>
      <c r="AP65" s="575"/>
      <c r="AQ65" s="575"/>
      <c r="AR65" s="190"/>
      <c r="AS65" s="190"/>
      <c r="AT65" s="190"/>
      <c r="AU65" s="190"/>
      <c r="AV65" s="190"/>
      <c r="AW65" s="190"/>
      <c r="AX65" s="305"/>
      <c r="AY65" s="190"/>
      <c r="AZ65" s="190"/>
      <c r="BA65" s="190"/>
      <c r="BB65" s="190"/>
      <c r="BC65" s="190"/>
    </row>
    <row r="66" spans="2:58" ht="8.1" customHeight="1" x14ac:dyDescent="0.2"/>
    <row r="67" spans="2:58" ht="5.25" customHeight="1" x14ac:dyDescent="0.2">
      <c r="B67" s="372"/>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3"/>
      <c r="AY67" s="373"/>
      <c r="AZ67" s="373"/>
      <c r="BA67" s="374"/>
    </row>
    <row r="68" spans="2:58" x14ac:dyDescent="0.2">
      <c r="B68" s="375"/>
      <c r="C68" s="714" t="e">
        <f>IF(AND(Daten!E523=0,Daten!C356=0),"x","")</f>
        <v>#N/A</v>
      </c>
      <c r="D68" s="715"/>
      <c r="E68" s="716"/>
      <c r="F68" s="376"/>
      <c r="G68" s="386" t="s">
        <v>1066</v>
      </c>
      <c r="H68" s="37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7"/>
    </row>
    <row r="69" spans="2:58" x14ac:dyDescent="0.2">
      <c r="B69" s="375"/>
      <c r="C69" s="376"/>
      <c r="D69" s="376"/>
      <c r="E69" s="376"/>
      <c r="F69" s="376"/>
      <c r="G69" s="376"/>
      <c r="H69" s="376"/>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7"/>
    </row>
    <row r="70" spans="2:58" x14ac:dyDescent="0.2">
      <c r="B70" s="375"/>
      <c r="C70" s="717" t="e">
        <f>IF(OR(Daten!E523=1,Daten!C356=1),"x","")</f>
        <v>#N/A</v>
      </c>
      <c r="D70" s="718"/>
      <c r="E70" s="719"/>
      <c r="F70" s="376"/>
      <c r="G70" s="386" t="s">
        <v>1067</v>
      </c>
      <c r="H70" s="376"/>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6"/>
      <c r="AF70" s="376"/>
      <c r="AG70" s="376"/>
      <c r="AH70" s="376"/>
      <c r="AI70" s="376"/>
      <c r="AJ70" s="376"/>
      <c r="AK70" s="376"/>
      <c r="AL70" s="376"/>
      <c r="AM70" s="386" t="str">
        <f>IF(Daten!C356,Daten!A653,"")</f>
        <v/>
      </c>
      <c r="AN70" s="376"/>
      <c r="AO70" s="376"/>
      <c r="AP70" s="376"/>
      <c r="AQ70" s="376"/>
      <c r="AR70" s="376"/>
      <c r="AS70" s="376"/>
      <c r="AT70" s="376"/>
      <c r="AU70" s="376"/>
      <c r="AV70" s="376"/>
      <c r="AW70" s="376"/>
      <c r="AX70" s="376"/>
      <c r="AY70" s="376"/>
      <c r="AZ70" s="376"/>
      <c r="BA70" s="377"/>
    </row>
    <row r="71" spans="2:58" ht="5.25" customHeight="1" x14ac:dyDescent="0.2">
      <c r="B71" s="378"/>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9"/>
      <c r="AO71" s="379"/>
      <c r="AP71" s="379"/>
      <c r="AQ71" s="379"/>
      <c r="AR71" s="379"/>
      <c r="AS71" s="379"/>
      <c r="AT71" s="379"/>
      <c r="AU71" s="379"/>
      <c r="AV71" s="379"/>
      <c r="AW71" s="379"/>
      <c r="AX71" s="379"/>
      <c r="AY71" s="379"/>
      <c r="AZ71" s="379"/>
      <c r="BA71" s="380"/>
    </row>
    <row r="72" spans="2:58" ht="8.1" customHeight="1" x14ac:dyDescent="0.2"/>
    <row r="73" spans="2:58" x14ac:dyDescent="0.2">
      <c r="B73" s="364" t="s">
        <v>1091</v>
      </c>
    </row>
    <row r="74" spans="2:58" ht="5.0999999999999996" customHeight="1" x14ac:dyDescent="0.2"/>
    <row r="75" spans="2:58" x14ac:dyDescent="0.2">
      <c r="B75" s="370" t="e">
        <f>IF(AND(Daten!E523=0,Daten!C356=0),Daten!D641,IF(AND(Daten!E523=0,Daten!C356=1),Daten!D644,IF(AND(Daten!E523=1,Daten!C356=0),Daten!D647,IF(AND(Daten!E523=1,Daten!C356=1),Daten!D650,""))))</f>
        <v>#N/A</v>
      </c>
      <c r="C75" s="370"/>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186"/>
      <c r="AG75" s="370"/>
      <c r="AH75" s="370"/>
      <c r="AI75" s="370"/>
      <c r="AJ75" s="370"/>
      <c r="AK75" s="370"/>
      <c r="AL75" s="370"/>
      <c r="AM75" s="370"/>
      <c r="AN75" s="370"/>
      <c r="AO75" s="370"/>
      <c r="AP75" s="370"/>
      <c r="AQ75" s="186"/>
      <c r="AR75" s="186"/>
      <c r="AS75" s="370"/>
      <c r="AT75" s="370"/>
      <c r="AU75" s="370"/>
      <c r="AV75" s="370"/>
      <c r="AW75" s="370"/>
      <c r="AX75" s="370"/>
      <c r="AY75" s="370"/>
      <c r="AZ75" s="370"/>
      <c r="BA75" s="370"/>
      <c r="BB75" s="370"/>
      <c r="BC75" s="186"/>
      <c r="BD75" s="370"/>
      <c r="BE75" s="370"/>
      <c r="BF75" s="370"/>
    </row>
    <row r="76" spans="2:58" x14ac:dyDescent="0.2">
      <c r="B76" s="363" t="e">
        <f>IF(AND(Daten!E523=0,Daten!C356=0),Daten!D642,IF(AND(Daten!E523=0,Daten!C356=1),Daten!D645,IF(AND(Daten!E523=1,Daten!C356=0),Daten!D648,IF(AND(Daten!E523=1,Daten!C356=1),Daten!D651,""))))</f>
        <v>#N/A</v>
      </c>
    </row>
    <row r="77" spans="2:58" ht="8.1" customHeight="1" x14ac:dyDescent="0.2">
      <c r="C77" s="370"/>
      <c r="D77" s="370"/>
      <c r="E77" s="370"/>
      <c r="AF77" s="363"/>
      <c r="AG77" s="363"/>
      <c r="AQ77" s="363"/>
      <c r="AR77" s="363"/>
      <c r="AS77" s="363"/>
      <c r="AT77" s="363"/>
      <c r="AU77" s="363"/>
      <c r="AV77" s="363"/>
      <c r="AW77" s="363"/>
      <c r="AX77" s="363"/>
      <c r="AY77" s="363"/>
      <c r="AZ77" s="363"/>
      <c r="BA77" s="363"/>
      <c r="BB77" s="363"/>
      <c r="BC77" s="363"/>
    </row>
    <row r="78" spans="2:58" ht="6" customHeight="1" x14ac:dyDescent="0.2">
      <c r="B78" s="372"/>
      <c r="C78" s="381"/>
      <c r="D78" s="381"/>
      <c r="E78" s="381"/>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c r="AN78" s="373"/>
      <c r="AO78" s="373"/>
      <c r="AP78" s="373"/>
      <c r="AQ78" s="373"/>
      <c r="AR78" s="373"/>
      <c r="AS78" s="373"/>
      <c r="AT78" s="373"/>
      <c r="AU78" s="373"/>
      <c r="AV78" s="373"/>
      <c r="AW78" s="373"/>
      <c r="AX78" s="373"/>
      <c r="AY78" s="373"/>
      <c r="AZ78" s="373"/>
      <c r="BA78" s="374"/>
      <c r="BB78" s="363"/>
      <c r="BC78" s="363"/>
    </row>
    <row r="79" spans="2:58" ht="14.25" customHeight="1" x14ac:dyDescent="0.2">
      <c r="B79" s="375"/>
      <c r="C79" s="376"/>
      <c r="D79" s="382" t="s">
        <v>1085</v>
      </c>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409"/>
      <c r="AJ79" s="708" t="s">
        <v>1088</v>
      </c>
      <c r="AK79" s="709"/>
      <c r="AL79" s="709"/>
      <c r="AM79" s="709"/>
      <c r="AN79" s="709"/>
      <c r="AO79" s="709"/>
      <c r="AP79" s="709"/>
      <c r="AQ79" s="709"/>
      <c r="AR79" s="709"/>
      <c r="AS79" s="709"/>
      <c r="AT79" s="710"/>
      <c r="AU79" s="376"/>
      <c r="AV79" s="376"/>
      <c r="AW79" s="376"/>
      <c r="AX79" s="376"/>
      <c r="AY79" s="376"/>
      <c r="AZ79" s="376"/>
      <c r="BA79" s="377"/>
    </row>
    <row r="80" spans="2:58" ht="6.75" customHeight="1" x14ac:dyDescent="0.2">
      <c r="B80" s="378"/>
      <c r="C80" s="379"/>
      <c r="D80" s="379"/>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c r="AE80" s="379"/>
      <c r="AF80" s="379"/>
      <c r="AG80" s="379"/>
      <c r="AH80" s="379"/>
      <c r="AI80" s="379"/>
      <c r="AJ80" s="379"/>
      <c r="AK80" s="379"/>
      <c r="AL80" s="379"/>
      <c r="AM80" s="379"/>
      <c r="AN80" s="379"/>
      <c r="AO80" s="379"/>
      <c r="AP80" s="379"/>
      <c r="AQ80" s="379"/>
      <c r="AR80" s="379"/>
      <c r="AS80" s="379"/>
      <c r="AT80" s="379"/>
      <c r="AU80" s="379"/>
      <c r="AV80" s="379"/>
      <c r="AW80" s="379"/>
      <c r="AX80" s="379"/>
      <c r="AY80" s="379"/>
      <c r="AZ80" s="379"/>
      <c r="BA80" s="380"/>
    </row>
    <row r="81" spans="2:77" ht="8.1" customHeight="1" x14ac:dyDescent="0.2"/>
    <row r="82" spans="2:77" x14ac:dyDescent="0.2">
      <c r="B82" s="364" t="e">
        <f>IF(AND(C68="x",AJ79="nicht erteilt"),"Begründung, warum die Zusicherung trotz Angemessenheit der Bruttokaltmiete nicht erteilt werden soll",IF(AND(C70="x",AJ79="erteilt"),"Begründung, warum die Zusicherung trotz Unangemessenheit der Bruttokaltmiete erteilt werden soll:",""))</f>
        <v>#N/A</v>
      </c>
    </row>
    <row r="83" spans="2:77" ht="5.0999999999999996" customHeight="1" x14ac:dyDescent="0.2"/>
    <row r="84" spans="2:77" x14ac:dyDescent="0.2">
      <c r="B84" s="711"/>
      <c r="C84" s="711"/>
      <c r="D84" s="711"/>
      <c r="E84" s="711"/>
      <c r="F84" s="711"/>
      <c r="G84" s="711"/>
      <c r="H84" s="711"/>
      <c r="I84" s="711"/>
      <c r="J84" s="711"/>
      <c r="K84" s="711"/>
      <c r="L84" s="711"/>
      <c r="M84" s="711"/>
      <c r="N84" s="711"/>
      <c r="O84" s="711"/>
      <c r="P84" s="711"/>
      <c r="Q84" s="711"/>
      <c r="R84" s="711"/>
      <c r="S84" s="711"/>
      <c r="T84" s="711"/>
      <c r="U84" s="711"/>
      <c r="V84" s="711"/>
      <c r="W84" s="711"/>
      <c r="X84" s="711"/>
      <c r="Y84" s="711"/>
      <c r="Z84" s="711"/>
      <c r="AA84" s="711"/>
      <c r="AB84" s="711"/>
      <c r="AC84" s="711"/>
      <c r="AD84" s="711"/>
      <c r="AE84" s="711"/>
      <c r="AF84" s="711"/>
      <c r="AG84" s="711"/>
      <c r="AH84" s="711"/>
      <c r="AI84" s="711"/>
      <c r="AJ84" s="711"/>
      <c r="AK84" s="711"/>
      <c r="AL84" s="711"/>
      <c r="AM84" s="711"/>
      <c r="AN84" s="711"/>
      <c r="AO84" s="711"/>
      <c r="AP84" s="711"/>
      <c r="AQ84" s="711"/>
      <c r="AR84" s="711"/>
      <c r="AS84" s="711"/>
      <c r="AT84" s="711"/>
      <c r="AU84" s="711"/>
      <c r="AV84" s="711"/>
      <c r="AW84" s="711"/>
      <c r="AX84" s="711"/>
      <c r="AY84" s="711"/>
      <c r="AZ84" s="711"/>
      <c r="BA84" s="711"/>
      <c r="BB84" s="711"/>
      <c r="BC84" s="711"/>
      <c r="BD84" s="711"/>
      <c r="BE84" s="711"/>
      <c r="BF84" s="711"/>
      <c r="BG84" s="711"/>
      <c r="BH84" s="711"/>
      <c r="BI84" s="711"/>
      <c r="BJ84" s="711"/>
      <c r="BK84" s="711"/>
      <c r="BL84" s="711"/>
      <c r="BM84" s="711"/>
      <c r="BN84" s="711"/>
      <c r="BO84" s="711"/>
      <c r="BP84" s="711"/>
      <c r="BQ84" s="711"/>
      <c r="BR84" s="711"/>
      <c r="BS84" s="711"/>
      <c r="BT84" s="711"/>
      <c r="BU84" s="711"/>
      <c r="BV84" s="711"/>
      <c r="BW84" s="711"/>
      <c r="BX84" s="711"/>
      <c r="BY84" s="711"/>
    </row>
    <row r="85" spans="2:77" x14ac:dyDescent="0.2">
      <c r="B85" s="711"/>
      <c r="C85" s="711"/>
      <c r="D85" s="711"/>
      <c r="E85" s="711"/>
      <c r="F85" s="711"/>
      <c r="G85" s="711"/>
      <c r="H85" s="711"/>
      <c r="I85" s="711"/>
      <c r="J85" s="711"/>
      <c r="K85" s="711"/>
      <c r="L85" s="711"/>
      <c r="M85" s="711"/>
      <c r="N85" s="711"/>
      <c r="O85" s="711"/>
      <c r="P85" s="711"/>
      <c r="Q85" s="711"/>
      <c r="R85" s="711"/>
      <c r="S85" s="711"/>
      <c r="T85" s="711"/>
      <c r="U85" s="711"/>
      <c r="V85" s="711"/>
      <c r="W85" s="711"/>
      <c r="X85" s="711"/>
      <c r="Y85" s="711"/>
      <c r="Z85" s="711"/>
      <c r="AA85" s="711"/>
      <c r="AB85" s="711"/>
      <c r="AC85" s="711"/>
      <c r="AD85" s="711"/>
      <c r="AE85" s="711"/>
      <c r="AF85" s="711"/>
      <c r="AG85" s="711"/>
      <c r="AH85" s="711"/>
      <c r="AI85" s="711"/>
      <c r="AJ85" s="711"/>
      <c r="AK85" s="711"/>
      <c r="AL85" s="711"/>
      <c r="AM85" s="711"/>
      <c r="AN85" s="711"/>
      <c r="AO85" s="711"/>
      <c r="AP85" s="711"/>
      <c r="AQ85" s="711"/>
      <c r="AR85" s="711"/>
      <c r="AS85" s="711"/>
      <c r="AT85" s="711"/>
      <c r="AU85" s="711"/>
      <c r="AV85" s="711"/>
      <c r="AW85" s="711"/>
      <c r="AX85" s="711"/>
      <c r="AY85" s="711"/>
      <c r="AZ85" s="711"/>
      <c r="BA85" s="711"/>
      <c r="BB85" s="711"/>
      <c r="BC85" s="711"/>
      <c r="BD85" s="711"/>
      <c r="BE85" s="711"/>
      <c r="BF85" s="711"/>
      <c r="BG85" s="711"/>
      <c r="BH85" s="711"/>
      <c r="BI85" s="711"/>
      <c r="BJ85" s="711"/>
      <c r="BK85" s="711"/>
      <c r="BL85" s="711"/>
      <c r="BM85" s="711"/>
      <c r="BN85" s="711"/>
      <c r="BO85" s="711"/>
      <c r="BP85" s="711"/>
      <c r="BQ85" s="711"/>
      <c r="BR85" s="711"/>
      <c r="BS85" s="711"/>
      <c r="BT85" s="711"/>
      <c r="BU85" s="711"/>
      <c r="BV85" s="711"/>
      <c r="BW85" s="711"/>
      <c r="BX85" s="711"/>
      <c r="BY85" s="711"/>
    </row>
    <row r="86" spans="2:77" x14ac:dyDescent="0.2">
      <c r="B86" s="711"/>
      <c r="C86" s="711"/>
      <c r="D86" s="711"/>
      <c r="E86" s="711"/>
      <c r="F86" s="711"/>
      <c r="G86" s="711"/>
      <c r="H86" s="711"/>
      <c r="I86" s="711"/>
      <c r="J86" s="711"/>
      <c r="K86" s="711"/>
      <c r="L86" s="711"/>
      <c r="M86" s="711"/>
      <c r="N86" s="711"/>
      <c r="O86" s="711"/>
      <c r="P86" s="711"/>
      <c r="Q86" s="711"/>
      <c r="R86" s="711"/>
      <c r="S86" s="711"/>
      <c r="T86" s="711"/>
      <c r="U86" s="711"/>
      <c r="V86" s="711"/>
      <c r="W86" s="711"/>
      <c r="X86" s="711"/>
      <c r="Y86" s="711"/>
      <c r="Z86" s="711"/>
      <c r="AA86" s="711"/>
      <c r="AB86" s="711"/>
      <c r="AC86" s="711"/>
      <c r="AD86" s="711"/>
      <c r="AE86" s="711"/>
      <c r="AF86" s="711"/>
      <c r="AG86" s="711"/>
      <c r="AH86" s="711"/>
      <c r="AI86" s="711"/>
      <c r="AJ86" s="711"/>
      <c r="AK86" s="711"/>
      <c r="AL86" s="711"/>
      <c r="AM86" s="711"/>
      <c r="AN86" s="711"/>
      <c r="AO86" s="711"/>
      <c r="AP86" s="711"/>
      <c r="AQ86" s="711"/>
      <c r="AR86" s="711"/>
      <c r="AS86" s="711"/>
      <c r="AT86" s="711"/>
      <c r="AU86" s="711"/>
      <c r="AV86" s="711"/>
      <c r="AW86" s="711"/>
      <c r="AX86" s="711"/>
      <c r="AY86" s="711"/>
      <c r="AZ86" s="711"/>
      <c r="BA86" s="711"/>
      <c r="BB86" s="711"/>
      <c r="BC86" s="711"/>
      <c r="BD86" s="711"/>
      <c r="BE86" s="711"/>
      <c r="BF86" s="711"/>
      <c r="BG86" s="711"/>
      <c r="BH86" s="711"/>
      <c r="BI86" s="711"/>
      <c r="BJ86" s="711"/>
      <c r="BK86" s="711"/>
      <c r="BL86" s="711"/>
      <c r="BM86" s="711"/>
      <c r="BN86" s="711"/>
      <c r="BO86" s="711"/>
      <c r="BP86" s="711"/>
      <c r="BQ86" s="711"/>
      <c r="BR86" s="711"/>
      <c r="BS86" s="711"/>
      <c r="BT86" s="711"/>
      <c r="BU86" s="711"/>
      <c r="BV86" s="711"/>
      <c r="BW86" s="711"/>
      <c r="BX86" s="711"/>
      <c r="BY86" s="711"/>
    </row>
    <row r="87" spans="2:77" x14ac:dyDescent="0.2">
      <c r="B87" s="711"/>
      <c r="C87" s="711"/>
      <c r="D87" s="711"/>
      <c r="E87" s="711"/>
      <c r="F87" s="711"/>
      <c r="G87" s="711"/>
      <c r="H87" s="711"/>
      <c r="I87" s="711"/>
      <c r="J87" s="711"/>
      <c r="K87" s="711"/>
      <c r="L87" s="711"/>
      <c r="M87" s="711"/>
      <c r="N87" s="711"/>
      <c r="O87" s="711"/>
      <c r="P87" s="711"/>
      <c r="Q87" s="711"/>
      <c r="R87" s="711"/>
      <c r="S87" s="711"/>
      <c r="T87" s="711"/>
      <c r="U87" s="711"/>
      <c r="V87" s="711"/>
      <c r="W87" s="711"/>
      <c r="X87" s="711"/>
      <c r="Y87" s="711"/>
      <c r="Z87" s="711"/>
      <c r="AA87" s="711"/>
      <c r="AB87" s="711"/>
      <c r="AC87" s="711"/>
      <c r="AD87" s="711"/>
      <c r="AE87" s="711"/>
      <c r="AF87" s="711"/>
      <c r="AG87" s="711"/>
      <c r="AH87" s="711"/>
      <c r="AI87" s="711"/>
      <c r="AJ87" s="711"/>
      <c r="AK87" s="711"/>
      <c r="AL87" s="711"/>
      <c r="AM87" s="711"/>
      <c r="AN87" s="711"/>
      <c r="AO87" s="711"/>
      <c r="AP87" s="711"/>
      <c r="AQ87" s="711"/>
      <c r="AR87" s="711"/>
      <c r="AS87" s="711"/>
      <c r="AT87" s="711"/>
      <c r="AU87" s="711"/>
      <c r="AV87" s="711"/>
      <c r="AW87" s="711"/>
      <c r="AX87" s="711"/>
      <c r="AY87" s="711"/>
      <c r="AZ87" s="711"/>
      <c r="BA87" s="711"/>
      <c r="BB87" s="711"/>
      <c r="BC87" s="711"/>
      <c r="BD87" s="711"/>
      <c r="BE87" s="711"/>
      <c r="BF87" s="711"/>
      <c r="BG87" s="711"/>
      <c r="BH87" s="711"/>
      <c r="BI87" s="711"/>
      <c r="BJ87" s="711"/>
      <c r="BK87" s="711"/>
      <c r="BL87" s="711"/>
      <c r="BM87" s="711"/>
      <c r="BN87" s="711"/>
      <c r="BO87" s="711"/>
      <c r="BP87" s="711"/>
      <c r="BQ87" s="711"/>
      <c r="BR87" s="711"/>
      <c r="BS87" s="711"/>
      <c r="BT87" s="711"/>
      <c r="BU87" s="711"/>
      <c r="BV87" s="711"/>
      <c r="BW87" s="711"/>
      <c r="BX87" s="711"/>
      <c r="BY87" s="711"/>
    </row>
    <row r="88" spans="2:77" x14ac:dyDescent="0.2">
      <c r="BY88" s="368" t="s">
        <v>1092</v>
      </c>
    </row>
  </sheetData>
  <sheetProtection sheet="1" selectLockedCells="1"/>
  <mergeCells count="40">
    <mergeCell ref="B2:BY2"/>
    <mergeCell ref="AG35:AQ35"/>
    <mergeCell ref="AJ79:AT79"/>
    <mergeCell ref="B84:BY87"/>
    <mergeCell ref="AG61:AQ61"/>
    <mergeCell ref="AG63:AQ63"/>
    <mergeCell ref="AG57:AQ57"/>
    <mergeCell ref="C68:E68"/>
    <mergeCell ref="C70:E70"/>
    <mergeCell ref="AG51:AQ51"/>
    <mergeCell ref="AG53:AQ53"/>
    <mergeCell ref="AG55:AQ55"/>
    <mergeCell ref="AU41:BE41"/>
    <mergeCell ref="AU43:BE43"/>
    <mergeCell ref="AU45:BE45"/>
    <mergeCell ref="AU55:BE55"/>
    <mergeCell ref="AG33:AQ33"/>
    <mergeCell ref="AG37:AQ37"/>
    <mergeCell ref="AG41:AQ41"/>
    <mergeCell ref="AG43:AQ43"/>
    <mergeCell ref="AG45:AQ45"/>
    <mergeCell ref="AG21:BY21"/>
    <mergeCell ref="AG23:AQ23"/>
    <mergeCell ref="AG27:AQ27"/>
    <mergeCell ref="AG29:AQ29"/>
    <mergeCell ref="AG31:AQ31"/>
    <mergeCell ref="AG19:BY19"/>
    <mergeCell ref="AG7:BY7"/>
    <mergeCell ref="AG9:BY9"/>
    <mergeCell ref="AG11:AQ11"/>
    <mergeCell ref="AG15:BY15"/>
    <mergeCell ref="AG17:BY17"/>
    <mergeCell ref="L51:AD51"/>
    <mergeCell ref="L53:AE53"/>
    <mergeCell ref="AU47:BE47"/>
    <mergeCell ref="AU49:BE49"/>
    <mergeCell ref="AU51:BE51"/>
    <mergeCell ref="AU53:BE53"/>
    <mergeCell ref="AG49:AQ49"/>
    <mergeCell ref="AG47:AQ47"/>
  </mergeCells>
  <conditionalFormatting sqref="B84:BY87">
    <cfRule type="expression" dxfId="101" priority="9">
      <formula>$B$82&lt;&gt;""</formula>
    </cfRule>
  </conditionalFormatting>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0" id="{4D4B8B0F-E65E-4C7D-AAA7-075B3C399256}">
            <xm:f>Daten!K79&gt;0</xm:f>
            <x14:dxf>
              <border>
                <bottom style="thin">
                  <color auto="1"/>
                </bottom>
                <vertical/>
                <horizontal/>
              </border>
            </x14:dxf>
          </x14:cfRule>
          <xm:sqref>AU41:BE41</xm:sqref>
        </x14:conditionalFormatting>
        <x14:conditionalFormatting xmlns:xm="http://schemas.microsoft.com/office/excel/2006/main">
          <x14:cfRule type="expression" priority="111" id="{37209DD4-B4AE-4680-A29A-09D47F2F21F5}">
            <xm:f>Daten!K79&gt;0</xm:f>
            <x14:dxf>
              <border>
                <bottom style="thin">
                  <color auto="1"/>
                </bottom>
                <vertical/>
                <horizontal/>
              </border>
            </x14:dxf>
          </x14:cfRule>
          <xm:sqref>AU43:BE43</xm:sqref>
        </x14:conditionalFormatting>
        <x14:conditionalFormatting xmlns:xm="http://schemas.microsoft.com/office/excel/2006/main">
          <x14:cfRule type="expression" priority="112" id="{E079C850-534F-4AC6-9FF1-65B66C1A7879}">
            <xm:f>Daten!K79&gt;0</xm:f>
            <x14:dxf>
              <border>
                <bottom style="thin">
                  <color auto="1"/>
                </bottom>
                <vertical/>
                <horizontal/>
              </border>
            </x14:dxf>
          </x14:cfRule>
          <xm:sqref>AU45:BE45</xm:sqref>
        </x14:conditionalFormatting>
        <x14:conditionalFormatting xmlns:xm="http://schemas.microsoft.com/office/excel/2006/main">
          <x14:cfRule type="expression" priority="113" id="{00F8222C-C97B-4299-950C-83BA085174E8}">
            <xm:f>Daten!K79&gt;0</xm:f>
            <x14:dxf>
              <border>
                <bottom style="thin">
                  <color auto="1"/>
                </bottom>
                <vertical/>
                <horizontal/>
              </border>
            </x14:dxf>
          </x14:cfRule>
          <xm:sqref>AU55:BE55</xm:sqref>
        </x14:conditionalFormatting>
        <x14:conditionalFormatting xmlns:xm="http://schemas.microsoft.com/office/excel/2006/main">
          <x14:cfRule type="expression" priority="4" id="{69D6EA2B-948A-4781-99F9-3CD295D6B424}">
            <xm:f>Daten!K79&gt;0</xm:f>
            <x14:dxf>
              <border>
                <bottom style="thin">
                  <color auto="1"/>
                </bottom>
                <vertical/>
                <horizontal/>
              </border>
            </x14:dxf>
          </x14:cfRule>
          <xm:sqref>AU47:BE47</xm:sqref>
        </x14:conditionalFormatting>
        <x14:conditionalFormatting xmlns:xm="http://schemas.microsoft.com/office/excel/2006/main">
          <x14:cfRule type="expression" priority="3" id="{9E79F09D-1ADF-40EB-85F9-CE148A7FAB16}">
            <xm:f>Daten!K79&gt;0</xm:f>
            <x14:dxf>
              <border>
                <bottom style="thin">
                  <color auto="1"/>
                </bottom>
                <vertical/>
                <horizontal/>
              </border>
            </x14:dxf>
          </x14:cfRule>
          <xm:sqref>AU49:BE49</xm:sqref>
        </x14:conditionalFormatting>
        <x14:conditionalFormatting xmlns:xm="http://schemas.microsoft.com/office/excel/2006/main">
          <x14:cfRule type="expression" priority="2" id="{D1841BB3-D10D-48CB-8902-090DAEA21455}">
            <xm:f>Daten!K79&gt;0</xm:f>
            <x14:dxf>
              <border>
                <bottom style="thin">
                  <color auto="1"/>
                </bottom>
                <vertical/>
                <horizontal/>
              </border>
            </x14:dxf>
          </x14:cfRule>
          <xm:sqref>AU51:BE51</xm:sqref>
        </x14:conditionalFormatting>
        <x14:conditionalFormatting xmlns:xm="http://schemas.microsoft.com/office/excel/2006/main">
          <x14:cfRule type="expression" priority="1" id="{2DE73195-E12F-4DFE-A666-C4567A5388F5}">
            <xm:f>Daten!K79&gt;0</xm:f>
            <x14:dxf>
              <border>
                <bottom style="thin">
                  <color auto="1"/>
                </bottom>
                <vertical/>
                <horizontal/>
              </border>
            </x14:dxf>
          </x14:cfRule>
          <xm:sqref>AU53:BE53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Daten!$A$654:$A$656</xm:f>
          </x14:formula1>
          <xm:sqref>AJ79:AT79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2:CB163"/>
  <sheetViews>
    <sheetView zoomScale="160" zoomScaleNormal="160" workbookViewId="0">
      <selection activeCell="B1" sqref="B1"/>
    </sheetView>
  </sheetViews>
  <sheetFormatPr baseColWidth="10" defaultColWidth="11.42578125" defaultRowHeight="12" x14ac:dyDescent="0.2"/>
  <cols>
    <col min="1" max="1" width="11.42578125" style="363"/>
    <col min="2" max="31" width="1.140625" style="363" customWidth="1"/>
    <col min="32" max="33" width="1.140625" style="184" customWidth="1"/>
    <col min="34" max="42" width="1.140625" style="363" customWidth="1"/>
    <col min="43" max="55" width="1.140625" style="184" customWidth="1"/>
    <col min="56" max="76" width="1.140625" style="363" customWidth="1"/>
    <col min="77" max="77" width="1.140625" style="184" customWidth="1"/>
    <col min="78" max="78" width="0.28515625" style="363" customWidth="1"/>
    <col min="79" max="16384" width="11.42578125" style="363"/>
  </cols>
  <sheetData>
    <row r="2" spans="2:77" ht="12.2" customHeight="1" x14ac:dyDescent="0.2">
      <c r="B2" s="721" t="s">
        <v>1170</v>
      </c>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721"/>
      <c r="AI2" s="721"/>
      <c r="AJ2" s="721"/>
      <c r="AK2" s="721"/>
      <c r="AL2" s="721"/>
      <c r="AM2" s="721"/>
      <c r="AN2" s="721"/>
      <c r="AO2" s="721"/>
      <c r="AP2" s="721"/>
      <c r="AQ2" s="721"/>
      <c r="AR2" s="721"/>
      <c r="AS2" s="721"/>
      <c r="AT2" s="721"/>
      <c r="AU2" s="721"/>
      <c r="AV2" s="721"/>
      <c r="AW2" s="721"/>
      <c r="AX2" s="721"/>
      <c r="AY2" s="721"/>
      <c r="AZ2" s="721"/>
      <c r="BA2" s="721"/>
      <c r="BB2" s="721"/>
      <c r="BC2" s="721"/>
      <c r="BD2" s="721"/>
      <c r="BE2" s="721"/>
      <c r="BF2" s="721"/>
      <c r="BG2" s="721"/>
      <c r="BH2" s="721"/>
      <c r="BI2" s="721"/>
      <c r="BJ2" s="721"/>
      <c r="BK2" s="721"/>
      <c r="BL2" s="721"/>
      <c r="BM2" s="721"/>
      <c r="BN2" s="721"/>
      <c r="BO2" s="721"/>
      <c r="BP2" s="721"/>
      <c r="BQ2" s="721"/>
      <c r="BR2" s="721"/>
      <c r="BS2" s="721"/>
      <c r="BT2" s="721"/>
      <c r="BU2" s="721"/>
      <c r="BV2" s="721"/>
      <c r="BW2" s="721"/>
      <c r="BX2" s="721"/>
      <c r="BY2" s="721"/>
    </row>
    <row r="3" spans="2:77" x14ac:dyDescent="0.2">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721"/>
      <c r="AT3" s="721"/>
      <c r="AU3" s="721"/>
      <c r="AV3" s="721"/>
      <c r="AW3" s="721"/>
      <c r="AX3" s="721"/>
      <c r="AY3" s="721"/>
      <c r="AZ3" s="721"/>
      <c r="BA3" s="721"/>
      <c r="BB3" s="721"/>
      <c r="BC3" s="721"/>
      <c r="BD3" s="721"/>
      <c r="BE3" s="721"/>
      <c r="BF3" s="721"/>
      <c r="BG3" s="721"/>
      <c r="BH3" s="721"/>
      <c r="BI3" s="721"/>
      <c r="BJ3" s="721"/>
      <c r="BK3" s="721"/>
      <c r="BL3" s="721"/>
      <c r="BM3" s="721"/>
      <c r="BN3" s="721"/>
      <c r="BO3" s="721"/>
      <c r="BP3" s="721"/>
      <c r="BQ3" s="721"/>
      <c r="BR3" s="721"/>
      <c r="BS3" s="721"/>
      <c r="BT3" s="721"/>
      <c r="BU3" s="721"/>
      <c r="BV3" s="721"/>
      <c r="BW3" s="721"/>
      <c r="BX3" s="721"/>
      <c r="BY3" s="721"/>
    </row>
    <row r="4" spans="2:77" x14ac:dyDescent="0.2">
      <c r="B4" s="721"/>
      <c r="C4" s="721"/>
      <c r="D4" s="721"/>
      <c r="E4" s="721"/>
      <c r="F4" s="721"/>
      <c r="G4" s="721"/>
      <c r="H4" s="721"/>
      <c r="I4" s="721"/>
      <c r="J4" s="721"/>
      <c r="K4" s="721"/>
      <c r="L4" s="721"/>
      <c r="M4" s="721"/>
      <c r="N4" s="721"/>
      <c r="O4" s="721"/>
      <c r="P4" s="721"/>
      <c r="Q4" s="721"/>
      <c r="R4" s="721"/>
      <c r="S4" s="721"/>
      <c r="T4" s="721"/>
      <c r="U4" s="721"/>
      <c r="V4" s="721"/>
      <c r="W4" s="721"/>
      <c r="X4" s="721"/>
      <c r="Y4" s="721"/>
      <c r="Z4" s="721"/>
      <c r="AA4" s="721"/>
      <c r="AB4" s="721"/>
      <c r="AC4" s="721"/>
      <c r="AD4" s="721"/>
      <c r="AE4" s="721"/>
      <c r="AF4" s="721"/>
      <c r="AG4" s="721"/>
      <c r="AH4" s="721"/>
      <c r="AI4" s="721"/>
      <c r="AJ4" s="721"/>
      <c r="AK4" s="721"/>
      <c r="AL4" s="721"/>
      <c r="AM4" s="721"/>
      <c r="AN4" s="721"/>
      <c r="AO4" s="721"/>
      <c r="AP4" s="721"/>
      <c r="AQ4" s="721"/>
      <c r="AR4" s="721"/>
      <c r="AS4" s="721"/>
      <c r="AT4" s="721"/>
      <c r="AU4" s="721"/>
      <c r="AV4" s="721"/>
      <c r="AW4" s="721"/>
      <c r="AX4" s="721"/>
      <c r="AY4" s="721"/>
      <c r="AZ4" s="721"/>
      <c r="BA4" s="721"/>
      <c r="BB4" s="721"/>
      <c r="BC4" s="721"/>
      <c r="BD4" s="721"/>
      <c r="BE4" s="721"/>
      <c r="BF4" s="721"/>
      <c r="BG4" s="721"/>
      <c r="BH4" s="721"/>
      <c r="BI4" s="721"/>
      <c r="BJ4" s="721"/>
      <c r="BK4" s="721"/>
      <c r="BL4" s="721"/>
      <c r="BM4" s="721"/>
      <c r="BN4" s="721"/>
      <c r="BO4" s="721"/>
      <c r="BP4" s="721"/>
      <c r="BQ4" s="721"/>
      <c r="BR4" s="721"/>
      <c r="BS4" s="721"/>
      <c r="BT4" s="721"/>
      <c r="BU4" s="721"/>
      <c r="BV4" s="721"/>
      <c r="BW4" s="721"/>
      <c r="BX4" s="721"/>
      <c r="BY4" s="721"/>
    </row>
    <row r="5" spans="2:77" ht="78" customHeight="1" x14ac:dyDescent="0.2">
      <c r="B5" s="721"/>
      <c r="C5" s="721"/>
      <c r="D5" s="721"/>
      <c r="E5" s="721"/>
      <c r="F5" s="721"/>
      <c r="G5" s="721"/>
      <c r="H5" s="721"/>
      <c r="I5" s="721"/>
      <c r="J5" s="721"/>
      <c r="K5" s="721"/>
      <c r="L5" s="721"/>
      <c r="M5" s="721"/>
      <c r="N5" s="721"/>
      <c r="O5" s="721"/>
      <c r="P5" s="721"/>
      <c r="Q5" s="721"/>
      <c r="R5" s="721"/>
      <c r="S5" s="721"/>
      <c r="T5" s="721"/>
      <c r="U5" s="721"/>
      <c r="V5" s="721"/>
      <c r="W5" s="721"/>
      <c r="X5" s="721"/>
      <c r="Y5" s="721"/>
      <c r="Z5" s="721"/>
      <c r="AA5" s="721"/>
      <c r="AB5" s="721"/>
      <c r="AC5" s="721"/>
      <c r="AD5" s="721"/>
      <c r="AE5" s="721"/>
      <c r="AF5" s="721"/>
      <c r="AG5" s="721"/>
      <c r="AH5" s="721"/>
      <c r="AI5" s="721"/>
      <c r="AJ5" s="721"/>
      <c r="AK5" s="721"/>
      <c r="AL5" s="721"/>
      <c r="AM5" s="721"/>
      <c r="AN5" s="721"/>
      <c r="AO5" s="721"/>
      <c r="AP5" s="721"/>
      <c r="AQ5" s="721"/>
      <c r="AR5" s="721"/>
      <c r="AS5" s="721"/>
      <c r="AT5" s="721"/>
      <c r="AU5" s="721"/>
      <c r="AV5" s="721"/>
      <c r="AW5" s="721"/>
      <c r="AX5" s="721"/>
      <c r="AY5" s="721"/>
      <c r="AZ5" s="721"/>
      <c r="BA5" s="721"/>
      <c r="BB5" s="721"/>
      <c r="BC5" s="721"/>
      <c r="BD5" s="721"/>
      <c r="BE5" s="721"/>
      <c r="BF5" s="721"/>
      <c r="BG5" s="721"/>
      <c r="BH5" s="721"/>
      <c r="BI5" s="721"/>
      <c r="BJ5" s="721"/>
      <c r="BK5" s="721"/>
      <c r="BL5" s="721"/>
      <c r="BM5" s="721"/>
      <c r="BN5" s="721"/>
      <c r="BO5" s="721"/>
      <c r="BP5" s="721"/>
      <c r="BQ5" s="721"/>
      <c r="BR5" s="721"/>
      <c r="BS5" s="721"/>
      <c r="BT5" s="721"/>
      <c r="BU5" s="721"/>
      <c r="BV5" s="721"/>
      <c r="BW5" s="721"/>
      <c r="BX5" s="721"/>
      <c r="BY5" s="721"/>
    </row>
    <row r="6" spans="2:77" ht="11.25" customHeight="1" x14ac:dyDescent="0.2"/>
    <row r="7" spans="2:77" ht="33.75" customHeight="1" x14ac:dyDescent="0.4">
      <c r="W7" s="390" t="s">
        <v>1152</v>
      </c>
    </row>
    <row r="8" spans="2:77" ht="28.5" customHeight="1" x14ac:dyDescent="0.4">
      <c r="B8" s="722" t="s">
        <v>1153</v>
      </c>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2"/>
      <c r="AI8" s="722"/>
      <c r="AJ8" s="722"/>
      <c r="AK8" s="722"/>
      <c r="AL8" s="722"/>
      <c r="AM8" s="722"/>
      <c r="AN8" s="722"/>
      <c r="AO8" s="722"/>
      <c r="AP8" s="722"/>
      <c r="AQ8" s="722"/>
      <c r="AR8" s="722"/>
      <c r="AS8" s="722"/>
      <c r="AT8" s="722"/>
      <c r="AU8" s="722"/>
      <c r="AV8" s="722"/>
      <c r="AW8" s="722"/>
      <c r="AX8" s="722"/>
      <c r="AY8" s="722"/>
      <c r="AZ8" s="722"/>
      <c r="BA8" s="722"/>
      <c r="BB8" s="722"/>
      <c r="BC8" s="722"/>
      <c r="BD8" s="722"/>
      <c r="BE8" s="722"/>
      <c r="BF8" s="722"/>
      <c r="BG8" s="722"/>
      <c r="BH8" s="722"/>
      <c r="BI8" s="722"/>
      <c r="BJ8" s="722"/>
      <c r="BK8" s="722"/>
      <c r="BL8" s="722"/>
      <c r="BM8" s="722"/>
      <c r="BN8" s="722"/>
      <c r="BO8" s="722"/>
      <c r="BP8" s="722"/>
      <c r="BQ8" s="722"/>
      <c r="BR8" s="722"/>
      <c r="BS8" s="722"/>
      <c r="BT8" s="722"/>
      <c r="BU8" s="722"/>
      <c r="BV8" s="722"/>
      <c r="BW8" s="722"/>
      <c r="BX8" s="722"/>
      <c r="BY8" s="722"/>
    </row>
    <row r="9" spans="2:77" ht="21.2" customHeight="1" x14ac:dyDescent="0.25">
      <c r="B9" s="385" t="s">
        <v>1089</v>
      </c>
      <c r="K9" s="370" t="s">
        <v>1168</v>
      </c>
    </row>
    <row r="10" spans="2:77" ht="8.1" customHeight="1" x14ac:dyDescent="0.2"/>
    <row r="11" spans="2:77" ht="10.15" customHeight="1" x14ac:dyDescent="0.2">
      <c r="B11" s="365" t="s">
        <v>388</v>
      </c>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194"/>
      <c r="AG11" s="701">
        <f>'KdU-Berechnung'!AO14</f>
        <v>0</v>
      </c>
      <c r="AH11" s="701"/>
      <c r="AI11" s="701"/>
      <c r="AJ11" s="701"/>
      <c r="AK11" s="701"/>
      <c r="AL11" s="701"/>
      <c r="AM11" s="701"/>
      <c r="AN11" s="701"/>
      <c r="AO11" s="701"/>
      <c r="AP11" s="701"/>
      <c r="AQ11" s="701"/>
      <c r="AR11" s="701"/>
      <c r="AS11" s="701"/>
      <c r="AT11" s="701"/>
      <c r="AU11" s="701"/>
      <c r="AV11" s="701"/>
      <c r="AW11" s="701"/>
      <c r="AX11" s="701"/>
      <c r="AY11" s="701"/>
      <c r="AZ11" s="701"/>
      <c r="BA11" s="701"/>
      <c r="BB11" s="701"/>
      <c r="BC11" s="701"/>
      <c r="BD11" s="701"/>
      <c r="BE11" s="701"/>
      <c r="BF11" s="701"/>
      <c r="BG11" s="701"/>
      <c r="BH11" s="701"/>
      <c r="BI11" s="701"/>
      <c r="BJ11" s="701"/>
      <c r="BK11" s="701"/>
      <c r="BL11" s="701"/>
      <c r="BM11" s="701"/>
      <c r="BN11" s="701"/>
      <c r="BO11" s="701"/>
      <c r="BP11" s="701"/>
      <c r="BQ11" s="701"/>
      <c r="BR11" s="701"/>
      <c r="BS11" s="701"/>
      <c r="BT11" s="701"/>
      <c r="BU11" s="701"/>
      <c r="BV11" s="701"/>
      <c r="BW11" s="701"/>
      <c r="BX11" s="701"/>
      <c r="BY11" s="701"/>
    </row>
    <row r="12" spans="2:77" ht="5.0999999999999996" customHeight="1" x14ac:dyDescent="0.2">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194"/>
      <c r="AG12" s="194"/>
      <c r="AH12" s="365"/>
      <c r="AI12" s="365"/>
      <c r="AJ12" s="365"/>
      <c r="AK12" s="365"/>
      <c r="AL12" s="365"/>
      <c r="AM12" s="365"/>
      <c r="AN12" s="365"/>
      <c r="AO12" s="365"/>
      <c r="AP12" s="365"/>
      <c r="AQ12" s="194"/>
      <c r="AR12" s="194"/>
      <c r="AS12" s="194"/>
      <c r="AT12" s="194"/>
      <c r="AU12" s="194"/>
      <c r="AV12" s="194"/>
      <c r="AW12" s="194"/>
      <c r="AX12" s="194"/>
      <c r="AY12" s="194"/>
      <c r="AZ12" s="194"/>
      <c r="BA12" s="194"/>
      <c r="BB12" s="194"/>
      <c r="BC12" s="194"/>
      <c r="BD12" s="365"/>
      <c r="BE12" s="194"/>
      <c r="BF12" s="194"/>
      <c r="BG12" s="194"/>
      <c r="BH12" s="194"/>
      <c r="BI12" s="194"/>
      <c r="BJ12" s="194"/>
      <c r="BK12" s="194"/>
      <c r="BL12" s="194"/>
      <c r="BM12" s="194"/>
      <c r="BN12" s="194"/>
      <c r="BO12" s="194"/>
      <c r="BP12" s="194"/>
      <c r="BQ12" s="194"/>
      <c r="BR12" s="194"/>
      <c r="BS12" s="194"/>
      <c r="BT12" s="194"/>
      <c r="BU12" s="194"/>
      <c r="BV12" s="194"/>
      <c r="BW12" s="194"/>
      <c r="BX12" s="194"/>
      <c r="BY12" s="194"/>
    </row>
    <row r="13" spans="2:77" ht="10.15" customHeight="1" x14ac:dyDescent="0.2">
      <c r="B13" s="365" t="s">
        <v>410</v>
      </c>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194"/>
      <c r="AG13" s="700">
        <f>'KdU-Berechnung'!AO10</f>
        <v>0</v>
      </c>
      <c r="AH13" s="700"/>
      <c r="AI13" s="700"/>
      <c r="AJ13" s="700"/>
      <c r="AK13" s="700"/>
      <c r="AL13" s="700"/>
      <c r="AM13" s="700"/>
      <c r="AN13" s="700"/>
      <c r="AO13" s="700"/>
      <c r="AP13" s="700"/>
      <c r="AQ13" s="700"/>
      <c r="AR13" s="700"/>
      <c r="AS13" s="700"/>
      <c r="AT13" s="700"/>
      <c r="AU13" s="700"/>
      <c r="AV13" s="700"/>
      <c r="AW13" s="700"/>
      <c r="AX13" s="700"/>
      <c r="AY13" s="700"/>
      <c r="AZ13" s="700"/>
      <c r="BA13" s="700"/>
      <c r="BB13" s="700"/>
      <c r="BC13" s="700"/>
      <c r="BD13" s="700"/>
      <c r="BE13" s="700"/>
      <c r="BF13" s="700"/>
      <c r="BG13" s="700"/>
      <c r="BH13" s="700"/>
      <c r="BI13" s="700"/>
      <c r="BJ13" s="700"/>
      <c r="BK13" s="700"/>
      <c r="BL13" s="700"/>
      <c r="BM13" s="700"/>
      <c r="BN13" s="700"/>
      <c r="BO13" s="700"/>
      <c r="BP13" s="700"/>
      <c r="BQ13" s="700"/>
      <c r="BR13" s="700"/>
      <c r="BS13" s="700"/>
      <c r="BT13" s="700"/>
      <c r="BU13" s="700"/>
      <c r="BV13" s="700"/>
      <c r="BW13" s="700"/>
      <c r="BX13" s="700"/>
      <c r="BY13" s="700"/>
    </row>
    <row r="14" spans="2:77" ht="5.0999999999999996" customHeight="1" x14ac:dyDescent="0.2">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194"/>
      <c r="AG14" s="194"/>
      <c r="AH14" s="365"/>
      <c r="AI14" s="365"/>
      <c r="AJ14" s="365"/>
      <c r="AK14" s="365"/>
      <c r="AL14" s="365"/>
      <c r="AM14" s="365"/>
      <c r="AN14" s="365"/>
      <c r="AO14" s="365"/>
      <c r="AP14" s="365"/>
      <c r="AQ14" s="194"/>
      <c r="AR14" s="194"/>
      <c r="AS14" s="194"/>
      <c r="AT14" s="194"/>
      <c r="AU14" s="194"/>
      <c r="AV14" s="194"/>
      <c r="AW14" s="194"/>
      <c r="AX14" s="194"/>
      <c r="AY14" s="194"/>
      <c r="AZ14" s="194"/>
      <c r="BA14" s="194"/>
      <c r="BB14" s="194"/>
      <c r="BC14" s="194"/>
      <c r="BD14" s="365"/>
      <c r="BE14" s="365"/>
      <c r="BF14" s="365"/>
      <c r="BG14" s="365"/>
      <c r="BH14" s="365"/>
      <c r="BI14" s="365"/>
      <c r="BJ14" s="365"/>
      <c r="BK14" s="365"/>
      <c r="BL14" s="365"/>
      <c r="BM14" s="365"/>
      <c r="BN14" s="365"/>
      <c r="BO14" s="365"/>
      <c r="BP14" s="365"/>
      <c r="BQ14" s="365"/>
      <c r="BR14" s="365"/>
      <c r="BS14" s="365"/>
      <c r="BT14" s="365"/>
      <c r="BU14" s="365"/>
      <c r="BV14" s="365"/>
      <c r="BW14" s="365"/>
      <c r="BX14" s="365"/>
      <c r="BY14" s="194"/>
    </row>
    <row r="15" spans="2:77" ht="10.15" customHeight="1" x14ac:dyDescent="0.2">
      <c r="B15" s="365" t="s">
        <v>1059</v>
      </c>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194"/>
      <c r="AG15" s="702">
        <f>'KdU-Berechnung'!BJ10</f>
        <v>0</v>
      </c>
      <c r="AH15" s="700"/>
      <c r="AI15" s="700"/>
      <c r="AJ15" s="700"/>
      <c r="AK15" s="700"/>
      <c r="AL15" s="700"/>
      <c r="AM15" s="700"/>
      <c r="AN15" s="700"/>
      <c r="AO15" s="700"/>
      <c r="AP15" s="700"/>
      <c r="AQ15" s="700"/>
      <c r="AR15" s="194"/>
      <c r="AS15" s="194"/>
      <c r="AT15" s="194"/>
      <c r="AU15" s="194"/>
      <c r="AV15" s="194"/>
      <c r="AW15" s="194"/>
      <c r="AX15" s="194"/>
      <c r="AY15" s="194"/>
      <c r="AZ15" s="194"/>
      <c r="BA15" s="194"/>
      <c r="BB15" s="194"/>
      <c r="BC15" s="194"/>
      <c r="BD15" s="365"/>
      <c r="BE15" s="365"/>
      <c r="BF15" s="365"/>
      <c r="BG15" s="365"/>
      <c r="BH15" s="365"/>
      <c r="BI15" s="365"/>
      <c r="BJ15" s="365"/>
      <c r="BK15" s="365"/>
      <c r="BL15" s="365"/>
      <c r="BM15" s="365"/>
      <c r="BN15" s="365"/>
      <c r="BO15" s="365"/>
      <c r="BP15" s="365"/>
      <c r="BQ15" s="365"/>
      <c r="BR15" s="365"/>
      <c r="BS15" s="365"/>
      <c r="BT15" s="365"/>
      <c r="BU15" s="365"/>
      <c r="BV15" s="365"/>
      <c r="BW15" s="365"/>
      <c r="BX15" s="365"/>
      <c r="BY15" s="194"/>
    </row>
    <row r="16" spans="2:77" ht="8.1" customHeight="1" x14ac:dyDescent="0.2">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194"/>
      <c r="AG16" s="194"/>
      <c r="AH16" s="365"/>
      <c r="AI16" s="365"/>
      <c r="AJ16" s="365"/>
      <c r="AK16" s="365"/>
      <c r="AL16" s="365"/>
      <c r="AM16" s="365"/>
      <c r="AN16" s="365"/>
      <c r="AO16" s="365"/>
      <c r="AP16" s="365"/>
      <c r="AQ16" s="194"/>
      <c r="AR16" s="194"/>
      <c r="AS16" s="194"/>
      <c r="AT16" s="194"/>
      <c r="AU16" s="194"/>
      <c r="AV16" s="194"/>
      <c r="AW16" s="194"/>
      <c r="AX16" s="194"/>
      <c r="AY16" s="194"/>
      <c r="AZ16" s="194"/>
      <c r="BA16" s="194"/>
      <c r="BB16" s="194"/>
      <c r="BC16" s="194"/>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194"/>
    </row>
    <row r="17" spans="2:77" ht="10.15" customHeight="1" x14ac:dyDescent="0.2">
      <c r="B17" s="366" t="s">
        <v>1123</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194"/>
      <c r="AG17" s="194"/>
      <c r="AH17" s="365"/>
      <c r="AI17" s="365"/>
      <c r="AJ17" s="365"/>
      <c r="AK17" s="365"/>
      <c r="AL17" s="365"/>
      <c r="AM17" s="365"/>
      <c r="AN17" s="365"/>
      <c r="AO17" s="365"/>
      <c r="AP17" s="365"/>
      <c r="AQ17" s="194"/>
      <c r="AR17" s="194"/>
      <c r="AS17" s="194"/>
      <c r="AT17" s="194"/>
      <c r="AU17" s="194"/>
      <c r="AV17" s="194"/>
      <c r="AW17" s="194"/>
      <c r="AX17" s="194"/>
      <c r="AY17" s="194"/>
      <c r="AZ17" s="194"/>
      <c r="BA17" s="194"/>
      <c r="BB17" s="194"/>
      <c r="BC17" s="194"/>
      <c r="BD17" s="365"/>
      <c r="BE17" s="365"/>
      <c r="BF17" s="365"/>
      <c r="BG17" s="365"/>
      <c r="BH17" s="365"/>
      <c r="BI17" s="365"/>
      <c r="BJ17" s="365"/>
      <c r="BK17" s="365"/>
      <c r="BL17" s="365"/>
      <c r="BM17" s="365"/>
      <c r="BN17" s="365"/>
      <c r="BO17" s="365"/>
      <c r="BP17" s="365"/>
      <c r="BQ17" s="365"/>
      <c r="BR17" s="365"/>
      <c r="BS17" s="365"/>
      <c r="BT17" s="365"/>
      <c r="BU17" s="365"/>
      <c r="BV17" s="365"/>
      <c r="BW17" s="365"/>
      <c r="BX17" s="365"/>
      <c r="BY17" s="194"/>
    </row>
    <row r="18" spans="2:77" ht="3.2" customHeight="1" x14ac:dyDescent="0.2">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194"/>
      <c r="AG18" s="194"/>
      <c r="AH18" s="365"/>
      <c r="AI18" s="365"/>
      <c r="AJ18" s="365"/>
      <c r="AK18" s="365"/>
      <c r="AL18" s="365"/>
      <c r="AM18" s="365"/>
      <c r="AN18" s="365"/>
      <c r="AO18" s="365"/>
      <c r="AP18" s="365"/>
      <c r="AQ18" s="194"/>
      <c r="AR18" s="194"/>
      <c r="AS18" s="194"/>
      <c r="AT18" s="194"/>
      <c r="AU18" s="194"/>
      <c r="AV18" s="194"/>
      <c r="AW18" s="194"/>
      <c r="AX18" s="194"/>
      <c r="AY18" s="194"/>
      <c r="AZ18" s="194"/>
      <c r="BA18" s="194"/>
      <c r="BB18" s="194"/>
      <c r="BC18" s="194"/>
      <c r="BD18" s="365"/>
      <c r="BE18" s="365"/>
      <c r="BF18" s="365"/>
      <c r="BG18" s="365"/>
      <c r="BH18" s="365"/>
      <c r="BI18" s="365"/>
      <c r="BJ18" s="365"/>
      <c r="BK18" s="365"/>
      <c r="BL18" s="365"/>
      <c r="BM18" s="365"/>
      <c r="BN18" s="365"/>
      <c r="BO18" s="365"/>
      <c r="BP18" s="365"/>
      <c r="BQ18" s="365"/>
      <c r="BR18" s="365"/>
      <c r="BS18" s="365"/>
      <c r="BT18" s="365"/>
      <c r="BU18" s="365"/>
      <c r="BV18" s="365"/>
      <c r="BW18" s="365"/>
      <c r="BX18" s="365"/>
      <c r="BY18" s="194"/>
    </row>
    <row r="19" spans="2:77" ht="10.15" customHeight="1" x14ac:dyDescent="0.2">
      <c r="B19" s="365" t="s">
        <v>409</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194"/>
      <c r="AG19" s="700">
        <f>'KdU-Berechnung'!B10</f>
        <v>0</v>
      </c>
      <c r="AH19" s="700"/>
      <c r="AI19" s="700"/>
      <c r="AJ19" s="700"/>
      <c r="AK19" s="700"/>
      <c r="AL19" s="700"/>
      <c r="AM19" s="700"/>
      <c r="AN19" s="700"/>
      <c r="AO19" s="700"/>
      <c r="AP19" s="700"/>
      <c r="AQ19" s="700"/>
      <c r="AR19" s="700"/>
      <c r="AS19" s="700"/>
      <c r="AT19" s="700"/>
      <c r="AU19" s="700"/>
      <c r="AV19" s="700"/>
      <c r="AW19" s="700"/>
      <c r="AX19" s="700"/>
      <c r="AY19" s="700"/>
      <c r="AZ19" s="700"/>
      <c r="BA19" s="700"/>
      <c r="BB19" s="700"/>
      <c r="BC19" s="700"/>
      <c r="BD19" s="700"/>
      <c r="BE19" s="700"/>
      <c r="BF19" s="700"/>
      <c r="BG19" s="700"/>
      <c r="BH19" s="700"/>
      <c r="BI19" s="700"/>
      <c r="BJ19" s="700"/>
      <c r="BK19" s="700"/>
      <c r="BL19" s="700"/>
      <c r="BM19" s="700"/>
      <c r="BN19" s="700"/>
      <c r="BO19" s="700"/>
      <c r="BP19" s="700"/>
      <c r="BQ19" s="700"/>
      <c r="BR19" s="700"/>
      <c r="BS19" s="700"/>
      <c r="BT19" s="700"/>
      <c r="BU19" s="700"/>
      <c r="BV19" s="700"/>
      <c r="BW19" s="700"/>
      <c r="BX19" s="700"/>
      <c r="BY19" s="700"/>
    </row>
    <row r="20" spans="2:77" ht="3.2" customHeight="1" x14ac:dyDescent="0.2">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194"/>
      <c r="AG20" s="194"/>
      <c r="AH20" s="365"/>
      <c r="AI20" s="365"/>
      <c r="AJ20" s="365"/>
      <c r="AK20" s="365"/>
      <c r="AL20" s="365"/>
      <c r="AM20" s="365"/>
      <c r="AN20" s="365"/>
      <c r="AO20" s="365"/>
      <c r="AP20" s="365"/>
      <c r="AQ20" s="194"/>
      <c r="AR20" s="194"/>
      <c r="AS20" s="194"/>
      <c r="AT20" s="194"/>
      <c r="AU20" s="194"/>
      <c r="AV20" s="194"/>
      <c r="AW20" s="194"/>
      <c r="AX20" s="194"/>
      <c r="AY20" s="194"/>
      <c r="AZ20" s="194"/>
      <c r="BA20" s="194"/>
      <c r="BB20" s="194"/>
      <c r="BC20" s="194"/>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194"/>
    </row>
    <row r="21" spans="2:77" ht="10.15" customHeight="1" x14ac:dyDescent="0.2">
      <c r="B21" s="365" t="s">
        <v>364</v>
      </c>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194"/>
      <c r="AG21" s="700" t="str">
        <f>'KdU-Berechnung'!B14&amp;" "&amp;'KdU-Berechnung'!AC14</f>
        <v xml:space="preserve"> </v>
      </c>
      <c r="AH21" s="700"/>
      <c r="AI21" s="700"/>
      <c r="AJ21" s="700"/>
      <c r="AK21" s="700"/>
      <c r="AL21" s="700"/>
      <c r="AM21" s="700"/>
      <c r="AN21" s="700"/>
      <c r="AO21" s="700"/>
      <c r="AP21" s="700"/>
      <c r="AQ21" s="700"/>
      <c r="AR21" s="700"/>
      <c r="AS21" s="700"/>
      <c r="AT21" s="700"/>
      <c r="AU21" s="700"/>
      <c r="AV21" s="700"/>
      <c r="AW21" s="700"/>
      <c r="AX21" s="700"/>
      <c r="AY21" s="700"/>
      <c r="AZ21" s="700"/>
      <c r="BA21" s="700"/>
      <c r="BB21" s="700"/>
      <c r="BC21" s="700"/>
      <c r="BD21" s="700"/>
      <c r="BE21" s="700"/>
      <c r="BF21" s="700"/>
      <c r="BG21" s="700"/>
      <c r="BH21" s="700"/>
      <c r="BI21" s="700"/>
      <c r="BJ21" s="700"/>
      <c r="BK21" s="700"/>
      <c r="BL21" s="700"/>
      <c r="BM21" s="700"/>
      <c r="BN21" s="700"/>
      <c r="BO21" s="700"/>
      <c r="BP21" s="700"/>
      <c r="BQ21" s="700"/>
      <c r="BR21" s="700"/>
      <c r="BS21" s="700"/>
      <c r="BT21" s="700"/>
      <c r="BU21" s="700"/>
      <c r="BV21" s="700"/>
      <c r="BW21" s="700"/>
      <c r="BX21" s="700"/>
      <c r="BY21" s="700"/>
    </row>
    <row r="22" spans="2:77" ht="3.2" customHeight="1" x14ac:dyDescent="0.2">
      <c r="B22" s="365"/>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194"/>
      <c r="AG22" s="194"/>
      <c r="AH22" s="365"/>
      <c r="AI22" s="365"/>
      <c r="AJ22" s="365"/>
      <c r="AK22" s="365"/>
      <c r="AL22" s="365"/>
      <c r="AM22" s="365"/>
      <c r="AN22" s="365"/>
      <c r="AO22" s="365"/>
      <c r="AP22" s="365"/>
      <c r="AQ22" s="194"/>
      <c r="AR22" s="194"/>
      <c r="AS22" s="194"/>
      <c r="AT22" s="194"/>
      <c r="AU22" s="194"/>
      <c r="AV22" s="194"/>
      <c r="AW22" s="194"/>
      <c r="AX22" s="194"/>
      <c r="AY22" s="194"/>
      <c r="AZ22" s="194"/>
      <c r="BA22" s="194"/>
      <c r="BB22" s="194"/>
      <c r="BC22" s="194"/>
      <c r="BD22" s="365"/>
      <c r="BE22" s="365"/>
      <c r="BF22" s="365"/>
      <c r="BG22" s="365"/>
      <c r="BH22" s="365"/>
      <c r="BI22" s="365"/>
      <c r="BJ22" s="365"/>
      <c r="BK22" s="365"/>
      <c r="BL22" s="365"/>
      <c r="BM22" s="365"/>
      <c r="BN22" s="365"/>
      <c r="BO22" s="365"/>
      <c r="BP22" s="365"/>
      <c r="BQ22" s="365"/>
      <c r="BR22" s="365"/>
      <c r="BS22" s="365"/>
      <c r="BT22" s="365"/>
      <c r="BU22" s="365"/>
      <c r="BV22" s="365"/>
      <c r="BW22" s="365"/>
      <c r="BX22" s="365"/>
      <c r="BY22" s="194"/>
    </row>
    <row r="23" spans="2:77" ht="10.15" customHeight="1" x14ac:dyDescent="0.2">
      <c r="B23" s="365" t="s">
        <v>365</v>
      </c>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194"/>
      <c r="AG23" s="700" t="str">
        <f>'KdU-Berechnung'!B18</f>
        <v/>
      </c>
      <c r="AH23" s="700"/>
      <c r="AI23" s="700"/>
      <c r="AJ23" s="700"/>
      <c r="AK23" s="700"/>
      <c r="AL23" s="700"/>
      <c r="AM23" s="700"/>
      <c r="AN23" s="700"/>
      <c r="AO23" s="700"/>
      <c r="AP23" s="700"/>
      <c r="AQ23" s="700"/>
      <c r="AR23" s="700"/>
      <c r="AS23" s="700"/>
      <c r="AT23" s="700"/>
      <c r="AU23" s="700"/>
      <c r="AV23" s="700"/>
      <c r="AW23" s="700"/>
      <c r="AX23" s="700"/>
      <c r="AY23" s="700"/>
      <c r="AZ23" s="700"/>
      <c r="BA23" s="700"/>
      <c r="BB23" s="700"/>
      <c r="BC23" s="700"/>
      <c r="BD23" s="700"/>
      <c r="BE23" s="700"/>
      <c r="BF23" s="700"/>
      <c r="BG23" s="700"/>
      <c r="BH23" s="700"/>
      <c r="BI23" s="700"/>
      <c r="BJ23" s="700"/>
      <c r="BK23" s="700"/>
      <c r="BL23" s="700"/>
      <c r="BM23" s="700"/>
      <c r="BN23" s="700"/>
      <c r="BO23" s="700"/>
      <c r="BP23" s="700"/>
      <c r="BQ23" s="700"/>
      <c r="BR23" s="700"/>
      <c r="BS23" s="700"/>
      <c r="BT23" s="700"/>
      <c r="BU23" s="700"/>
      <c r="BV23" s="700"/>
      <c r="BW23" s="700"/>
      <c r="BX23" s="700"/>
      <c r="BY23" s="700"/>
    </row>
    <row r="24" spans="2:77" ht="3.2" customHeight="1" x14ac:dyDescent="0.2">
      <c r="B24" s="365"/>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194"/>
      <c r="AG24" s="194"/>
      <c r="AH24" s="365"/>
      <c r="AI24" s="365"/>
      <c r="AJ24" s="365"/>
      <c r="AK24" s="365"/>
      <c r="AL24" s="365"/>
      <c r="AM24" s="365"/>
      <c r="AN24" s="365"/>
      <c r="AO24" s="365"/>
      <c r="AP24" s="365"/>
      <c r="AQ24" s="194"/>
      <c r="AR24" s="194"/>
      <c r="AS24" s="194"/>
      <c r="AT24" s="194"/>
      <c r="AU24" s="194"/>
      <c r="AV24" s="194"/>
      <c r="AW24" s="194"/>
      <c r="AX24" s="194"/>
      <c r="AY24" s="194"/>
      <c r="AZ24" s="194"/>
      <c r="BA24" s="194"/>
      <c r="BB24" s="194"/>
      <c r="BC24" s="194"/>
      <c r="BD24" s="365"/>
      <c r="BE24" s="365"/>
      <c r="BF24" s="365"/>
      <c r="BG24" s="365"/>
      <c r="BH24" s="365"/>
      <c r="BI24" s="365"/>
      <c r="BJ24" s="365"/>
      <c r="BK24" s="365"/>
      <c r="BL24" s="365"/>
      <c r="BM24" s="365"/>
      <c r="BN24" s="365"/>
      <c r="BO24" s="365"/>
      <c r="BP24" s="365"/>
      <c r="BQ24" s="365"/>
      <c r="BR24" s="365"/>
      <c r="BS24" s="365"/>
      <c r="BT24" s="365"/>
      <c r="BU24" s="365"/>
      <c r="BV24" s="365"/>
      <c r="BW24" s="365"/>
      <c r="BX24" s="365"/>
      <c r="BY24" s="194"/>
    </row>
    <row r="25" spans="2:77" ht="10.15" customHeight="1" x14ac:dyDescent="0.2">
      <c r="B25" s="365" t="s">
        <v>366</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194"/>
      <c r="AG25" s="700" t="str">
        <f>'KdU-Berechnung'!AA18</f>
        <v/>
      </c>
      <c r="AH25" s="700"/>
      <c r="AI25" s="700"/>
      <c r="AJ25" s="700"/>
      <c r="AK25" s="700"/>
      <c r="AL25" s="700"/>
      <c r="AM25" s="700"/>
      <c r="AN25" s="700"/>
      <c r="AO25" s="700"/>
      <c r="AP25" s="700"/>
      <c r="AQ25" s="700"/>
      <c r="AR25" s="700"/>
      <c r="AS25" s="700"/>
      <c r="AT25" s="700"/>
      <c r="AU25" s="700"/>
      <c r="AV25" s="700"/>
      <c r="AW25" s="700"/>
      <c r="AX25" s="700"/>
      <c r="AY25" s="700"/>
      <c r="AZ25" s="700"/>
      <c r="BA25" s="700"/>
      <c r="BB25" s="700"/>
      <c r="BC25" s="700"/>
      <c r="BD25" s="700"/>
      <c r="BE25" s="700"/>
      <c r="BF25" s="700"/>
      <c r="BG25" s="700"/>
      <c r="BH25" s="700"/>
      <c r="BI25" s="700"/>
      <c r="BJ25" s="700"/>
      <c r="BK25" s="700"/>
      <c r="BL25" s="700"/>
      <c r="BM25" s="700"/>
      <c r="BN25" s="700"/>
      <c r="BO25" s="700"/>
      <c r="BP25" s="700"/>
      <c r="BQ25" s="700"/>
      <c r="BR25" s="700"/>
      <c r="BS25" s="700"/>
      <c r="BT25" s="700"/>
      <c r="BU25" s="700"/>
      <c r="BV25" s="700"/>
      <c r="BW25" s="700"/>
      <c r="BX25" s="700"/>
      <c r="BY25" s="700"/>
    </row>
    <row r="26" spans="2:77" ht="3.2" customHeight="1" x14ac:dyDescent="0.2">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194"/>
      <c r="AG26" s="194"/>
      <c r="AH26" s="365"/>
      <c r="AI26" s="365"/>
      <c r="AJ26" s="365"/>
      <c r="AK26" s="365"/>
      <c r="AL26" s="365"/>
      <c r="AM26" s="365"/>
      <c r="AN26" s="365"/>
      <c r="AO26" s="365"/>
      <c r="AP26" s="365"/>
      <c r="AQ26" s="194"/>
      <c r="AR26" s="194"/>
      <c r="AS26" s="194"/>
      <c r="AT26" s="194"/>
      <c r="AU26" s="194"/>
      <c r="AV26" s="194"/>
      <c r="AW26" s="194"/>
      <c r="AX26" s="194"/>
      <c r="AY26" s="194"/>
      <c r="AZ26" s="194"/>
      <c r="BA26" s="194"/>
      <c r="BB26" s="194"/>
      <c r="BC26" s="194"/>
      <c r="BD26" s="365"/>
      <c r="BE26" s="365"/>
      <c r="BF26" s="365"/>
      <c r="BG26" s="365"/>
      <c r="BH26" s="365"/>
      <c r="BI26" s="365"/>
      <c r="BJ26" s="365"/>
      <c r="BK26" s="365"/>
      <c r="BL26" s="365"/>
      <c r="BM26" s="365"/>
      <c r="BN26" s="365"/>
      <c r="BO26" s="365"/>
      <c r="BP26" s="365"/>
      <c r="BQ26" s="365"/>
      <c r="BR26" s="365"/>
      <c r="BS26" s="365"/>
      <c r="BT26" s="365"/>
      <c r="BU26" s="365"/>
      <c r="BV26" s="365"/>
      <c r="BW26" s="365"/>
      <c r="BX26" s="365"/>
      <c r="BY26" s="194"/>
    </row>
    <row r="27" spans="2:77" ht="10.15" customHeight="1" x14ac:dyDescent="0.2">
      <c r="B27" s="365" t="s">
        <v>1062</v>
      </c>
      <c r="C27" s="365"/>
      <c r="D27" s="365"/>
      <c r="E27" s="365"/>
      <c r="F27" s="365"/>
      <c r="G27" s="365"/>
      <c r="H27" s="365"/>
      <c r="I27" s="365"/>
      <c r="J27" s="365"/>
      <c r="K27" s="365"/>
      <c r="L27" s="365"/>
      <c r="M27" s="383" t="e">
        <f>'KdU-Berechnung'!Z78</f>
        <v>#N/A</v>
      </c>
      <c r="N27" s="365"/>
      <c r="O27" s="365"/>
      <c r="P27" s="365"/>
      <c r="Q27" s="365"/>
      <c r="R27" s="365"/>
      <c r="S27" s="365"/>
      <c r="T27" s="365"/>
      <c r="U27" s="365"/>
      <c r="V27" s="365"/>
      <c r="W27" s="365"/>
      <c r="X27" s="365"/>
      <c r="Y27" s="365"/>
      <c r="Z27" s="365"/>
      <c r="AA27" s="365"/>
      <c r="AB27" s="365"/>
      <c r="AC27" s="365"/>
      <c r="AD27" s="365"/>
      <c r="AE27" s="365"/>
      <c r="AF27" s="194"/>
      <c r="AG27" s="700" t="str">
        <f>'KdU-Berechnung'!BQ18</f>
        <v/>
      </c>
      <c r="AH27" s="700"/>
      <c r="AI27" s="700"/>
      <c r="AJ27" s="700"/>
      <c r="AK27" s="700"/>
      <c r="AL27" s="700"/>
      <c r="AM27" s="700"/>
      <c r="AN27" s="700"/>
      <c r="AO27" s="700"/>
      <c r="AP27" s="700"/>
      <c r="AQ27" s="700"/>
      <c r="AR27" s="194"/>
      <c r="AS27" s="194"/>
      <c r="AT27" s="194"/>
      <c r="AU27" s="194"/>
      <c r="AV27" s="194"/>
      <c r="AW27" s="194"/>
      <c r="AX27" s="194"/>
      <c r="AY27" s="194"/>
      <c r="AZ27" s="194"/>
      <c r="BA27" s="194"/>
      <c r="BB27" s="194"/>
      <c r="BC27" s="194"/>
      <c r="BD27" s="365"/>
      <c r="BE27" s="365"/>
      <c r="BF27" s="365"/>
      <c r="BG27" s="365"/>
      <c r="BH27" s="365"/>
      <c r="BI27" s="365"/>
      <c r="BJ27" s="365"/>
      <c r="BK27" s="365"/>
      <c r="BL27" s="365"/>
      <c r="BM27" s="365"/>
      <c r="BN27" s="365"/>
      <c r="BO27" s="365"/>
      <c r="BP27" s="365"/>
      <c r="BQ27" s="365"/>
      <c r="BR27" s="365"/>
      <c r="BS27" s="365"/>
      <c r="BT27" s="365"/>
      <c r="BU27" s="365"/>
      <c r="BV27" s="365"/>
      <c r="BW27" s="365"/>
      <c r="BX27" s="365"/>
      <c r="BY27" s="194"/>
    </row>
    <row r="28" spans="2:77" ht="8.1" customHeight="1" x14ac:dyDescent="0.2">
      <c r="B28" s="365"/>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194"/>
      <c r="AG28" s="194"/>
      <c r="AH28" s="365"/>
      <c r="AI28" s="365"/>
      <c r="AJ28" s="365"/>
      <c r="AK28" s="365"/>
      <c r="AL28" s="365"/>
      <c r="AM28" s="365"/>
      <c r="AN28" s="365"/>
      <c r="AO28" s="365"/>
      <c r="AP28" s="365"/>
      <c r="AQ28" s="194"/>
      <c r="AR28" s="194"/>
      <c r="AS28" s="194"/>
      <c r="AT28" s="194"/>
      <c r="AU28" s="194"/>
      <c r="AV28" s="194"/>
      <c r="AW28" s="194"/>
      <c r="AX28" s="194"/>
      <c r="AY28" s="194"/>
      <c r="AZ28" s="194"/>
      <c r="BA28" s="194"/>
      <c r="BB28" s="194"/>
      <c r="BC28" s="194"/>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194"/>
    </row>
    <row r="29" spans="2:77" ht="10.15" customHeight="1" x14ac:dyDescent="0.2">
      <c r="B29" s="366" t="s">
        <v>1094</v>
      </c>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194"/>
      <c r="AG29" s="194"/>
      <c r="AH29" s="365"/>
      <c r="AI29" s="365"/>
      <c r="AJ29" s="365"/>
      <c r="AK29" s="365"/>
      <c r="AL29" s="365"/>
      <c r="AM29" s="365"/>
      <c r="AN29" s="365"/>
      <c r="AO29" s="365"/>
      <c r="AP29" s="365"/>
      <c r="AQ29" s="194"/>
      <c r="AR29" s="194"/>
      <c r="AS29" s="194"/>
      <c r="AT29" s="194"/>
      <c r="AU29" s="194"/>
      <c r="AV29" s="194"/>
      <c r="AW29" s="194"/>
      <c r="AX29" s="194"/>
      <c r="AY29" s="194"/>
      <c r="AZ29" s="194"/>
      <c r="BA29" s="194"/>
      <c r="BB29" s="194"/>
      <c r="BC29" s="194"/>
      <c r="BD29" s="365"/>
      <c r="BE29" s="365"/>
      <c r="BF29" s="365"/>
      <c r="BG29" s="365"/>
      <c r="BH29" s="365"/>
      <c r="BI29" s="365"/>
      <c r="BJ29" s="365"/>
      <c r="BK29" s="365"/>
      <c r="BL29" s="365"/>
      <c r="BM29" s="365"/>
      <c r="BN29" s="365"/>
      <c r="BO29" s="365"/>
      <c r="BP29" s="365"/>
      <c r="BQ29" s="365"/>
      <c r="BR29" s="365"/>
      <c r="BS29" s="365"/>
      <c r="BT29" s="365"/>
      <c r="BU29" s="365"/>
      <c r="BV29" s="365"/>
      <c r="BW29" s="365"/>
      <c r="BX29" s="365"/>
      <c r="BY29" s="194"/>
    </row>
    <row r="30" spans="2:77" ht="3.2" customHeight="1" x14ac:dyDescent="0.2">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194"/>
      <c r="AG30" s="194"/>
      <c r="AH30" s="365"/>
      <c r="AI30" s="365"/>
      <c r="AJ30" s="365"/>
      <c r="AK30" s="365"/>
      <c r="AL30" s="365"/>
      <c r="AM30" s="365"/>
      <c r="AN30" s="365"/>
      <c r="AO30" s="365"/>
      <c r="AP30" s="365"/>
      <c r="AQ30" s="194"/>
      <c r="AR30" s="194"/>
      <c r="AS30" s="194"/>
      <c r="AT30" s="194"/>
      <c r="AU30" s="194"/>
      <c r="AV30" s="194"/>
      <c r="AW30" s="194"/>
      <c r="AX30" s="194"/>
      <c r="AY30" s="194"/>
      <c r="AZ30" s="194"/>
      <c r="BA30" s="194"/>
      <c r="BB30" s="194"/>
      <c r="BC30" s="194"/>
      <c r="BD30" s="365"/>
      <c r="BE30" s="365"/>
      <c r="BF30" s="365"/>
      <c r="BG30" s="365"/>
      <c r="BH30" s="365"/>
      <c r="BI30" s="365"/>
      <c r="BJ30" s="365"/>
      <c r="BK30" s="365"/>
      <c r="BL30" s="365"/>
      <c r="BM30" s="365"/>
      <c r="BN30" s="365"/>
      <c r="BO30" s="365"/>
      <c r="BP30" s="365"/>
      <c r="BQ30" s="365"/>
      <c r="BR30" s="365"/>
      <c r="BS30" s="365"/>
      <c r="BT30" s="365"/>
      <c r="BU30" s="365"/>
      <c r="BV30" s="365"/>
      <c r="BW30" s="365"/>
      <c r="BX30" s="365"/>
      <c r="BY30" s="194"/>
    </row>
    <row r="31" spans="2:77" ht="10.15" customHeight="1" x14ac:dyDescent="0.2">
      <c r="B31" s="415" t="s">
        <v>1060</v>
      </c>
      <c r="C31" s="365"/>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194"/>
      <c r="AG31" s="703">
        <f>'KdU-Berechnung'!AG24:AQ24</f>
        <v>0</v>
      </c>
      <c r="AH31" s="704"/>
      <c r="AI31" s="704"/>
      <c r="AJ31" s="704"/>
      <c r="AK31" s="704"/>
      <c r="AL31" s="704"/>
      <c r="AM31" s="704"/>
      <c r="AN31" s="704"/>
      <c r="AO31" s="704"/>
      <c r="AP31" s="704"/>
      <c r="AQ31" s="704"/>
      <c r="AR31" s="194"/>
      <c r="AS31" s="194"/>
      <c r="AT31" s="194"/>
      <c r="AU31" s="194"/>
      <c r="AX31" s="194"/>
      <c r="AY31" s="194"/>
      <c r="AZ31" s="194"/>
      <c r="BA31" s="194"/>
      <c r="BB31" s="194"/>
      <c r="BC31" s="194"/>
      <c r="BD31" s="365"/>
      <c r="BE31" s="365"/>
      <c r="BF31" s="365"/>
      <c r="BG31" s="365"/>
      <c r="BH31" s="365"/>
      <c r="BI31" s="365"/>
      <c r="BJ31" s="365"/>
      <c r="BK31" s="365"/>
      <c r="BL31" s="365"/>
      <c r="BM31" s="365"/>
      <c r="BN31" s="365"/>
      <c r="BO31" s="365"/>
      <c r="BP31" s="365"/>
      <c r="BQ31" s="365"/>
      <c r="BR31" s="365"/>
      <c r="BS31" s="365"/>
      <c r="BT31" s="365"/>
      <c r="BU31" s="365"/>
      <c r="BV31" s="365"/>
      <c r="BW31" s="365"/>
      <c r="BX31" s="365"/>
      <c r="BY31" s="194"/>
    </row>
    <row r="32" spans="2:77" ht="3.2" customHeight="1" x14ac:dyDescent="0.2">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194"/>
      <c r="AG32" s="389"/>
      <c r="AH32" s="368"/>
      <c r="AI32" s="368"/>
      <c r="AJ32" s="368"/>
      <c r="AK32" s="368"/>
      <c r="AL32" s="368"/>
      <c r="AM32" s="368"/>
      <c r="AN32" s="368"/>
      <c r="AO32" s="368"/>
      <c r="AP32" s="368"/>
      <c r="AQ32" s="389"/>
      <c r="AR32" s="194"/>
      <c r="AS32" s="194"/>
      <c r="AT32" s="194"/>
      <c r="AU32" s="194"/>
      <c r="AV32" s="194"/>
      <c r="AW32" s="194"/>
      <c r="AX32" s="194"/>
      <c r="AY32" s="194"/>
      <c r="AZ32" s="194"/>
      <c r="BA32" s="194"/>
      <c r="BB32" s="194"/>
      <c r="BC32" s="194"/>
      <c r="BD32" s="365"/>
      <c r="BE32" s="365"/>
      <c r="BF32" s="365"/>
      <c r="BG32" s="365"/>
      <c r="BH32" s="365"/>
      <c r="BI32" s="365"/>
      <c r="BJ32" s="365"/>
      <c r="BK32" s="365"/>
      <c r="BL32" s="365"/>
      <c r="BM32" s="365"/>
      <c r="BN32" s="365"/>
      <c r="BO32" s="365"/>
      <c r="BP32" s="365"/>
      <c r="BQ32" s="365"/>
      <c r="BR32" s="365"/>
      <c r="BS32" s="365"/>
      <c r="BT32" s="365"/>
      <c r="BU32" s="365"/>
      <c r="BV32" s="365"/>
      <c r="BW32" s="365"/>
      <c r="BX32" s="365"/>
      <c r="BY32" s="194"/>
    </row>
    <row r="33" spans="2:77" ht="10.15" customHeight="1" x14ac:dyDescent="0.2">
      <c r="B33" s="365" t="s">
        <v>856</v>
      </c>
      <c r="C33" s="365"/>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194"/>
      <c r="AG33" s="699">
        <f>'KdU-Berechnung'!AG28</f>
        <v>0</v>
      </c>
      <c r="AH33" s="699"/>
      <c r="AI33" s="699"/>
      <c r="AJ33" s="699"/>
      <c r="AK33" s="699"/>
      <c r="AL33" s="699"/>
      <c r="AM33" s="699"/>
      <c r="AN33" s="699"/>
      <c r="AO33" s="699"/>
      <c r="AP33" s="699"/>
      <c r="AQ33" s="699"/>
      <c r="AR33" s="194"/>
      <c r="AS33" s="194" t="s">
        <v>855</v>
      </c>
      <c r="AT33" s="194"/>
      <c r="AU33" s="194"/>
      <c r="AV33" s="194"/>
      <c r="AW33" s="194"/>
      <c r="AX33" s="194"/>
      <c r="AY33" s="194"/>
      <c r="AZ33" s="194"/>
      <c r="BA33" s="194"/>
      <c r="BB33" s="194"/>
      <c r="BC33" s="194"/>
      <c r="BD33" s="365"/>
      <c r="BE33" s="365"/>
      <c r="BF33" s="365"/>
      <c r="BG33" s="365"/>
      <c r="BH33" s="365"/>
      <c r="BI33" s="365"/>
      <c r="BJ33" s="365"/>
      <c r="BK33" s="365"/>
      <c r="BL33" s="365"/>
      <c r="BM33" s="365"/>
      <c r="BN33" s="365"/>
      <c r="BO33" s="365"/>
      <c r="BP33" s="365"/>
      <c r="BQ33" s="365"/>
      <c r="BR33" s="365"/>
      <c r="BS33" s="365"/>
      <c r="BT33" s="365"/>
      <c r="BU33" s="365"/>
      <c r="BV33" s="365"/>
      <c r="BW33" s="365"/>
      <c r="BX33" s="365"/>
      <c r="BY33" s="194"/>
    </row>
    <row r="34" spans="2:77" ht="3.2" customHeight="1" x14ac:dyDescent="0.2">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194"/>
      <c r="AG34" s="389"/>
      <c r="AH34" s="368"/>
      <c r="AI34" s="368"/>
      <c r="AJ34" s="368"/>
      <c r="AK34" s="368"/>
      <c r="AL34" s="368"/>
      <c r="AM34" s="368"/>
      <c r="AN34" s="368"/>
      <c r="AO34" s="368"/>
      <c r="AP34" s="368"/>
      <c r="AQ34" s="389"/>
      <c r="AR34" s="194"/>
      <c r="AS34" s="194"/>
      <c r="AT34" s="194"/>
      <c r="AU34" s="194"/>
      <c r="AV34" s="194"/>
      <c r="AW34" s="194"/>
      <c r="AX34" s="194"/>
      <c r="AY34" s="194"/>
      <c r="AZ34" s="194"/>
      <c r="BA34" s="194"/>
      <c r="BB34" s="194"/>
      <c r="BC34" s="194"/>
      <c r="BD34" s="365"/>
      <c r="BE34" s="365"/>
      <c r="BF34" s="365"/>
      <c r="BG34" s="365"/>
      <c r="BH34" s="365"/>
      <c r="BI34" s="365"/>
      <c r="BJ34" s="365"/>
      <c r="BK34" s="365"/>
      <c r="BL34" s="365"/>
      <c r="BM34" s="365"/>
      <c r="BN34" s="365"/>
      <c r="BO34" s="365"/>
      <c r="BP34" s="365"/>
      <c r="BQ34" s="365"/>
      <c r="BR34" s="365"/>
      <c r="BS34" s="365"/>
      <c r="BT34" s="365"/>
      <c r="BU34" s="365"/>
      <c r="BV34" s="365"/>
      <c r="BW34" s="365"/>
      <c r="BX34" s="365"/>
      <c r="BY34" s="194"/>
    </row>
    <row r="35" spans="2:77" ht="10.15" customHeight="1" x14ac:dyDescent="0.2">
      <c r="B35" s="365" t="s">
        <v>988</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194"/>
      <c r="AG35" s="699">
        <f>'KdU-Berechnung'!AG30</f>
        <v>0</v>
      </c>
      <c r="AH35" s="699"/>
      <c r="AI35" s="699"/>
      <c r="AJ35" s="699"/>
      <c r="AK35" s="699"/>
      <c r="AL35" s="699"/>
      <c r="AM35" s="699"/>
      <c r="AN35" s="699"/>
      <c r="AO35" s="699"/>
      <c r="AP35" s="699"/>
      <c r="AQ35" s="699"/>
      <c r="AR35" s="194"/>
      <c r="AS35" s="194" t="s">
        <v>855</v>
      </c>
      <c r="AT35" s="194"/>
      <c r="AU35" s="194"/>
      <c r="AV35" s="194"/>
      <c r="AW35" s="194"/>
      <c r="AX35" s="194"/>
      <c r="AY35" s="194"/>
      <c r="AZ35" s="194"/>
      <c r="BA35" s="194"/>
      <c r="BB35" s="194"/>
      <c r="BC35" s="194"/>
      <c r="BD35" s="365"/>
      <c r="BE35" s="365"/>
      <c r="BF35" s="365"/>
      <c r="BG35" s="365"/>
      <c r="BH35" s="365"/>
      <c r="BI35" s="365"/>
      <c r="BJ35" s="365"/>
      <c r="BK35" s="365"/>
      <c r="BL35" s="365"/>
      <c r="BM35" s="365"/>
      <c r="BN35" s="365"/>
      <c r="BO35" s="365"/>
      <c r="BP35" s="365"/>
      <c r="BQ35" s="365"/>
      <c r="BR35" s="365"/>
      <c r="BS35" s="365"/>
      <c r="BT35" s="365"/>
      <c r="BU35" s="365"/>
      <c r="BV35" s="365"/>
      <c r="BW35" s="365"/>
      <c r="BX35" s="365"/>
      <c r="BY35" s="194"/>
    </row>
    <row r="36" spans="2:77" ht="3.2" customHeight="1" x14ac:dyDescent="0.2">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194"/>
      <c r="AG36" s="389"/>
      <c r="AH36" s="368"/>
      <c r="AI36" s="368"/>
      <c r="AJ36" s="368"/>
      <c r="AK36" s="368"/>
      <c r="AL36" s="368"/>
      <c r="AM36" s="368"/>
      <c r="AN36" s="368"/>
      <c r="AO36" s="368"/>
      <c r="AP36" s="368"/>
      <c r="AQ36" s="389"/>
      <c r="AR36" s="194"/>
      <c r="AS36" s="194"/>
      <c r="AT36" s="194"/>
      <c r="AU36" s="194"/>
      <c r="AV36" s="194"/>
      <c r="AW36" s="194"/>
      <c r="AX36" s="194"/>
      <c r="AY36" s="194"/>
      <c r="AZ36" s="194"/>
      <c r="BA36" s="194"/>
      <c r="BB36" s="194"/>
      <c r="BC36" s="194"/>
      <c r="BD36" s="365"/>
      <c r="BE36" s="365"/>
      <c r="BF36" s="365"/>
      <c r="BG36" s="365"/>
      <c r="BH36" s="365"/>
      <c r="BI36" s="365"/>
      <c r="BJ36" s="365"/>
      <c r="BK36" s="365"/>
      <c r="BL36" s="365"/>
      <c r="BM36" s="365"/>
      <c r="BN36" s="365"/>
      <c r="BO36" s="365"/>
      <c r="BP36" s="365"/>
      <c r="BQ36" s="365"/>
      <c r="BR36" s="365"/>
      <c r="BS36" s="365"/>
      <c r="BT36" s="365"/>
      <c r="BU36" s="365"/>
      <c r="BV36" s="365"/>
      <c r="BW36" s="365"/>
      <c r="BX36" s="365"/>
      <c r="BY36" s="194"/>
    </row>
    <row r="37" spans="2:77" ht="10.15" customHeight="1" x14ac:dyDescent="0.2">
      <c r="B37" s="365" t="s">
        <v>413</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194"/>
      <c r="AG37" s="699" t="str">
        <f>'KdU-Berechnung'!AG32</f>
        <v/>
      </c>
      <c r="AH37" s="699"/>
      <c r="AI37" s="699"/>
      <c r="AJ37" s="699"/>
      <c r="AK37" s="699"/>
      <c r="AL37" s="699"/>
      <c r="AM37" s="699"/>
      <c r="AN37" s="699"/>
      <c r="AO37" s="699"/>
      <c r="AP37" s="699"/>
      <c r="AQ37" s="699"/>
      <c r="AR37" s="194"/>
      <c r="AS37" s="194" t="s">
        <v>855</v>
      </c>
      <c r="AT37" s="194"/>
      <c r="AU37" s="194"/>
      <c r="AV37" s="194"/>
      <c r="AW37" s="194"/>
      <c r="AX37" s="194"/>
      <c r="AY37" s="194"/>
      <c r="AZ37" s="194"/>
      <c r="BA37" s="194"/>
      <c r="BB37" s="194"/>
      <c r="BC37" s="194"/>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194"/>
    </row>
    <row r="38" spans="2:77" ht="8.1" customHeight="1" x14ac:dyDescent="0.2">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194"/>
      <c r="AG38" s="389"/>
      <c r="AH38" s="368"/>
      <c r="AI38" s="368"/>
      <c r="AJ38" s="368"/>
      <c r="AK38" s="368"/>
      <c r="AL38" s="368"/>
      <c r="AM38" s="368"/>
      <c r="AN38" s="368"/>
      <c r="AO38" s="368"/>
      <c r="AP38" s="368"/>
      <c r="AQ38" s="389"/>
      <c r="AR38" s="194"/>
      <c r="AS38" s="194"/>
      <c r="AT38" s="194"/>
      <c r="AU38" s="194"/>
      <c r="AV38" s="194"/>
      <c r="AW38" s="194"/>
      <c r="AX38" s="194"/>
      <c r="AY38" s="194"/>
      <c r="AZ38" s="194"/>
      <c r="BA38" s="194"/>
      <c r="BB38" s="194"/>
      <c r="BC38" s="194"/>
      <c r="BD38" s="365"/>
      <c r="BE38" s="365"/>
      <c r="BF38" s="365"/>
      <c r="BG38" s="365"/>
      <c r="BH38" s="365"/>
      <c r="BI38" s="365"/>
      <c r="BJ38" s="365"/>
      <c r="BK38" s="365"/>
      <c r="BL38" s="365"/>
      <c r="BM38" s="365"/>
      <c r="BN38" s="365"/>
      <c r="BO38" s="365"/>
      <c r="BP38" s="365"/>
      <c r="BQ38" s="365"/>
      <c r="BR38" s="365"/>
      <c r="BS38" s="365"/>
      <c r="BT38" s="365"/>
      <c r="BU38" s="365"/>
      <c r="BV38" s="365"/>
      <c r="BW38" s="365"/>
      <c r="BX38" s="365"/>
      <c r="BY38" s="194"/>
    </row>
    <row r="39" spans="2:77" ht="10.15" customHeight="1" x14ac:dyDescent="0.2">
      <c r="B39" s="366" t="s">
        <v>1098</v>
      </c>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194"/>
      <c r="AG39" s="389"/>
      <c r="AH39" s="368"/>
      <c r="AI39" s="368"/>
      <c r="AJ39" s="368"/>
      <c r="AK39" s="368"/>
      <c r="AL39" s="368"/>
      <c r="AM39" s="368"/>
      <c r="AN39" s="368"/>
      <c r="AO39" s="368"/>
      <c r="AP39" s="368"/>
      <c r="AQ39" s="389"/>
      <c r="AR39" s="194"/>
      <c r="AT39" s="194"/>
      <c r="AW39" s="422" t="str">
        <f>IF(Daten!K79&gt;0,"Auf BG entfallender Anteil (zus. Pers. zur Miete)","")</f>
        <v/>
      </c>
      <c r="AX39" s="194"/>
      <c r="AY39" s="194"/>
      <c r="AZ39" s="194"/>
      <c r="BA39" s="194"/>
      <c r="BB39" s="194"/>
      <c r="BC39" s="194"/>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194"/>
    </row>
    <row r="40" spans="2:77" ht="3.2" customHeight="1" x14ac:dyDescent="0.2">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194"/>
      <c r="AG40" s="389"/>
      <c r="AH40" s="368"/>
      <c r="AI40" s="368"/>
      <c r="AJ40" s="368"/>
      <c r="AK40" s="368"/>
      <c r="AL40" s="368"/>
      <c r="AM40" s="368"/>
      <c r="AN40" s="368"/>
      <c r="AO40" s="368"/>
      <c r="AP40" s="368"/>
      <c r="AQ40" s="389"/>
      <c r="AR40" s="194"/>
      <c r="AS40" s="194"/>
      <c r="AT40" s="194"/>
      <c r="AU40" s="194"/>
      <c r="AV40" s="194"/>
      <c r="AW40" s="194"/>
      <c r="AX40" s="194"/>
      <c r="AY40" s="194"/>
      <c r="AZ40" s="194"/>
      <c r="BA40" s="194"/>
      <c r="BB40" s="194"/>
      <c r="BC40" s="194"/>
      <c r="BD40" s="365"/>
      <c r="BE40" s="365"/>
      <c r="BF40" s="365"/>
      <c r="BG40" s="365"/>
      <c r="BH40" s="365"/>
      <c r="BI40" s="365"/>
      <c r="BJ40" s="365"/>
      <c r="BK40" s="365"/>
      <c r="BL40" s="365"/>
      <c r="BM40" s="365"/>
      <c r="BN40" s="365"/>
      <c r="BO40" s="365"/>
      <c r="BP40" s="365"/>
      <c r="BQ40" s="365"/>
      <c r="BR40" s="365"/>
      <c r="BS40" s="365"/>
      <c r="BT40" s="365"/>
      <c r="BU40" s="365"/>
      <c r="BV40" s="365"/>
      <c r="BW40" s="365"/>
      <c r="BX40" s="365"/>
      <c r="BY40" s="194"/>
    </row>
    <row r="41" spans="2:77" s="365" customFormat="1" ht="10.15" customHeight="1" x14ac:dyDescent="0.2">
      <c r="B41" s="365" t="s">
        <v>1081</v>
      </c>
      <c r="AF41" s="194"/>
      <c r="AG41" s="698">
        <f>'KdU-Berechnung'!AG36</f>
        <v>0</v>
      </c>
      <c r="AH41" s="698"/>
      <c r="AI41" s="698"/>
      <c r="AJ41" s="698"/>
      <c r="AK41" s="698"/>
      <c r="AL41" s="698"/>
      <c r="AM41" s="698"/>
      <c r="AN41" s="698"/>
      <c r="AO41" s="698"/>
      <c r="AP41" s="698"/>
      <c r="AQ41" s="698"/>
      <c r="AR41" s="194"/>
      <c r="AS41" s="388" t="s">
        <v>401</v>
      </c>
      <c r="AT41" s="388"/>
      <c r="AU41" s="388"/>
      <c r="AV41" s="388"/>
      <c r="AW41" s="388"/>
      <c r="AX41" s="388"/>
      <c r="AY41" s="388"/>
      <c r="AZ41" s="388"/>
      <c r="BA41" s="388"/>
      <c r="BB41" s="388"/>
      <c r="BC41" s="388"/>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195"/>
    </row>
    <row r="42" spans="2:77" s="365" customFormat="1" ht="3.2" customHeight="1" x14ac:dyDescent="0.2">
      <c r="AF42" s="194"/>
      <c r="AG42" s="389"/>
      <c r="AH42" s="368"/>
      <c r="AI42" s="368"/>
      <c r="AJ42" s="368"/>
      <c r="AK42" s="368"/>
      <c r="AL42" s="368"/>
      <c r="AM42" s="368"/>
      <c r="AN42" s="368"/>
      <c r="AO42" s="368"/>
      <c r="AP42" s="368"/>
      <c r="AQ42" s="389"/>
      <c r="AR42" s="194"/>
      <c r="AS42" s="194"/>
      <c r="AT42" s="194"/>
      <c r="AU42" s="194"/>
      <c r="AV42" s="194"/>
      <c r="AW42" s="194"/>
      <c r="AX42" s="194"/>
      <c r="AY42" s="194"/>
      <c r="AZ42" s="194"/>
      <c r="BA42" s="194"/>
      <c r="BB42" s="194"/>
      <c r="BC42" s="194"/>
      <c r="BY42" s="194"/>
    </row>
    <row r="43" spans="2:77" s="365" customFormat="1" ht="10.15" customHeight="1" x14ac:dyDescent="0.2">
      <c r="B43" s="365" t="s">
        <v>1096</v>
      </c>
      <c r="AF43" s="194"/>
      <c r="AG43" s="698">
        <f>'KdU-Berechnung'!AG38</f>
        <v>0</v>
      </c>
      <c r="AH43" s="698"/>
      <c r="AI43" s="698"/>
      <c r="AJ43" s="698"/>
      <c r="AK43" s="698"/>
      <c r="AL43" s="698"/>
      <c r="AM43" s="698"/>
      <c r="AN43" s="698"/>
      <c r="AO43" s="698"/>
      <c r="AP43" s="698"/>
      <c r="AQ43" s="698"/>
      <c r="AR43" s="194"/>
      <c r="AS43" s="194" t="s">
        <v>401</v>
      </c>
      <c r="AT43" s="194"/>
      <c r="AU43" s="194"/>
      <c r="AV43" s="194"/>
      <c r="AW43" s="194"/>
      <c r="AX43" s="194"/>
      <c r="AY43" s="194"/>
      <c r="AZ43" s="194"/>
      <c r="BA43" s="194"/>
      <c r="BB43" s="194"/>
      <c r="BC43" s="194"/>
      <c r="BY43" s="194"/>
    </row>
    <row r="44" spans="2:77" s="365" customFormat="1" ht="3.2" customHeight="1" x14ac:dyDescent="0.2">
      <c r="AF44" s="194"/>
      <c r="AG44" s="389"/>
      <c r="AH44" s="368"/>
      <c r="AI44" s="368"/>
      <c r="AJ44" s="368"/>
      <c r="AK44" s="368"/>
      <c r="AL44" s="368"/>
      <c r="AM44" s="368"/>
      <c r="AN44" s="368"/>
      <c r="AO44" s="368"/>
      <c r="AP44" s="368"/>
      <c r="AQ44" s="389"/>
      <c r="AR44" s="194"/>
      <c r="AS44" s="194"/>
      <c r="AT44" s="194"/>
      <c r="AU44" s="194"/>
      <c r="AV44" s="194"/>
      <c r="AW44" s="194"/>
      <c r="AX44" s="194"/>
      <c r="AY44" s="194"/>
      <c r="AZ44" s="194"/>
      <c r="BA44" s="194"/>
      <c r="BB44" s="194"/>
      <c r="BC44" s="194"/>
      <c r="BY44" s="194"/>
    </row>
    <row r="45" spans="2:77" s="365" customFormat="1" ht="10.15" customHeight="1" x14ac:dyDescent="0.2">
      <c r="B45" s="365" t="s">
        <v>415</v>
      </c>
      <c r="AF45" s="194"/>
      <c r="AG45" s="732" t="str">
        <f>'KdU-Berechnung'!Z82</f>
        <v>kein Klimabonus</v>
      </c>
      <c r="AH45" s="699"/>
      <c r="AI45" s="699"/>
      <c r="AJ45" s="699"/>
      <c r="AK45" s="699"/>
      <c r="AL45" s="699"/>
      <c r="AM45" s="699"/>
      <c r="AN45" s="699"/>
      <c r="AO45" s="699"/>
      <c r="AP45" s="699"/>
      <c r="AQ45" s="699"/>
      <c r="AR45" s="194"/>
      <c r="AS45" s="388"/>
      <c r="AT45" s="388"/>
      <c r="AU45" s="388"/>
      <c r="AV45" s="388"/>
      <c r="AW45" s="388"/>
      <c r="AX45" s="388"/>
      <c r="AY45" s="388"/>
      <c r="AZ45" s="388"/>
      <c r="BA45" s="388"/>
      <c r="BB45" s="388"/>
      <c r="BC45" s="388"/>
      <c r="BY45" s="194"/>
    </row>
    <row r="46" spans="2:77" s="365" customFormat="1" ht="3.2" customHeight="1" x14ac:dyDescent="0.2">
      <c r="AF46" s="194"/>
      <c r="AG46" s="389"/>
      <c r="AH46" s="389"/>
      <c r="AI46" s="389"/>
      <c r="AJ46" s="389"/>
      <c r="AK46" s="389"/>
      <c r="AL46" s="389"/>
      <c r="AM46" s="389"/>
      <c r="AN46" s="389"/>
      <c r="AO46" s="389"/>
      <c r="AP46" s="389"/>
      <c r="AQ46" s="389"/>
      <c r="AR46" s="194"/>
      <c r="AS46" s="194"/>
      <c r="AT46" s="194"/>
      <c r="AU46" s="194"/>
      <c r="AV46" s="194"/>
      <c r="AW46" s="194"/>
      <c r="AX46" s="194"/>
      <c r="AY46" s="194"/>
      <c r="AZ46" s="194"/>
      <c r="BA46" s="194"/>
      <c r="BB46" s="194"/>
      <c r="BC46" s="194"/>
      <c r="BY46" s="194"/>
    </row>
    <row r="47" spans="2:77" s="365" customFormat="1" ht="10.15" customHeight="1" x14ac:dyDescent="0.2">
      <c r="B47" s="365" t="s">
        <v>1106</v>
      </c>
      <c r="AF47" s="194"/>
      <c r="AG47" s="698">
        <f>'KdU-Berechnung'!AG56</f>
        <v>0</v>
      </c>
      <c r="AH47" s="698"/>
      <c r="AI47" s="698"/>
      <c r="AJ47" s="698"/>
      <c r="AK47" s="698"/>
      <c r="AL47" s="698"/>
      <c r="AM47" s="698"/>
      <c r="AN47" s="698"/>
      <c r="AO47" s="698"/>
      <c r="AP47" s="698"/>
      <c r="AQ47" s="698"/>
      <c r="AR47" s="194"/>
      <c r="AS47" s="194" t="s">
        <v>401</v>
      </c>
      <c r="AT47" s="194"/>
      <c r="AU47" s="194"/>
      <c r="AV47" s="194"/>
      <c r="AW47" s="194"/>
      <c r="AX47" s="194"/>
      <c r="AY47" s="194"/>
      <c r="AZ47" s="194"/>
      <c r="BA47" s="194"/>
      <c r="BB47" s="194"/>
      <c r="BC47" s="194"/>
      <c r="BY47" s="194"/>
    </row>
    <row r="48" spans="2:77" s="365" customFormat="1" ht="3.2" customHeight="1" x14ac:dyDescent="0.2">
      <c r="AF48" s="194"/>
      <c r="AG48" s="389"/>
      <c r="AH48" s="389"/>
      <c r="AI48" s="389"/>
      <c r="AJ48" s="389"/>
      <c r="AK48" s="389"/>
      <c r="AL48" s="389"/>
      <c r="AM48" s="389"/>
      <c r="AN48" s="389"/>
      <c r="AO48" s="389"/>
      <c r="AP48" s="389"/>
      <c r="AQ48" s="389"/>
      <c r="AR48" s="194"/>
      <c r="AS48" s="194"/>
      <c r="AT48" s="194"/>
      <c r="AU48" s="194"/>
      <c r="AV48" s="194"/>
      <c r="AW48" s="194"/>
      <c r="AX48" s="194"/>
      <c r="AY48" s="194"/>
      <c r="AZ48" s="194"/>
      <c r="BA48" s="194"/>
      <c r="BB48" s="194"/>
      <c r="BC48" s="194"/>
      <c r="BY48" s="194"/>
    </row>
    <row r="49" spans="1:80" s="365" customFormat="1" ht="10.15" customHeight="1" x14ac:dyDescent="0.2">
      <c r="B49" s="365" t="s">
        <v>1095</v>
      </c>
      <c r="AF49" s="194"/>
      <c r="AG49" s="698">
        <f>'KdU-Berechnung'!AG44</f>
        <v>0</v>
      </c>
      <c r="AH49" s="698"/>
      <c r="AI49" s="698"/>
      <c r="AJ49" s="698"/>
      <c r="AK49" s="698"/>
      <c r="AL49" s="698"/>
      <c r="AM49" s="698"/>
      <c r="AN49" s="698"/>
      <c r="AO49" s="698"/>
      <c r="AP49" s="698"/>
      <c r="AQ49" s="698"/>
      <c r="AR49" s="194"/>
      <c r="AS49" s="388"/>
      <c r="AT49" s="388"/>
      <c r="AU49" s="388"/>
      <c r="BY49" s="194"/>
    </row>
    <row r="50" spans="1:80" s="365" customFormat="1" ht="3.2" customHeight="1" x14ac:dyDescent="0.2">
      <c r="AF50" s="194"/>
      <c r="AG50" s="389"/>
      <c r="AH50" s="389"/>
      <c r="AI50" s="389"/>
      <c r="AJ50" s="389"/>
      <c r="AK50" s="389"/>
      <c r="AL50" s="389"/>
      <c r="AM50" s="389"/>
      <c r="AN50" s="389"/>
      <c r="AO50" s="389"/>
      <c r="AP50" s="389"/>
      <c r="AQ50" s="389"/>
      <c r="AR50" s="194"/>
      <c r="AS50" s="194"/>
      <c r="AT50" s="194"/>
      <c r="BY50" s="194"/>
    </row>
    <row r="51" spans="1:80" s="365" customFormat="1" ht="10.15" customHeight="1" x14ac:dyDescent="0.2">
      <c r="B51" s="365" t="s">
        <v>1097</v>
      </c>
      <c r="AF51" s="194"/>
      <c r="AG51" s="698">
        <f>'KdU-Berechnung'!AG40</f>
        <v>0</v>
      </c>
      <c r="AH51" s="698"/>
      <c r="AI51" s="698"/>
      <c r="AJ51" s="698"/>
      <c r="AK51" s="698"/>
      <c r="AL51" s="698"/>
      <c r="AM51" s="698"/>
      <c r="AN51" s="698"/>
      <c r="AO51" s="698"/>
      <c r="AP51" s="698"/>
      <c r="AQ51" s="698"/>
      <c r="AR51" s="194"/>
      <c r="AS51" s="365" t="s">
        <v>853</v>
      </c>
      <c r="AW51" s="697" t="str">
        <f>IF(Daten!K79&gt;0,'KdU-Berechnung'!BO40,"")</f>
        <v/>
      </c>
      <c r="AX51" s="697"/>
      <c r="AY51" s="697"/>
      <c r="AZ51" s="697"/>
      <c r="BA51" s="697"/>
      <c r="BB51" s="697"/>
      <c r="BC51" s="697"/>
      <c r="BD51" s="697"/>
      <c r="BE51" s="697"/>
      <c r="BF51" s="697"/>
      <c r="BG51" s="697"/>
      <c r="BI51" s="365" t="str">
        <f>IF(Daten!K79&gt;0,"€","")</f>
        <v/>
      </c>
      <c r="BY51" s="194"/>
    </row>
    <row r="52" spans="1:80" ht="3.2" customHeight="1" x14ac:dyDescent="0.2">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194"/>
      <c r="AG52" s="194"/>
      <c r="AH52" s="365"/>
      <c r="AI52" s="365"/>
      <c r="AJ52" s="365"/>
      <c r="AK52" s="365"/>
      <c r="AL52" s="365"/>
      <c r="AM52" s="365"/>
      <c r="AN52" s="365"/>
      <c r="AO52" s="365"/>
      <c r="AP52" s="365"/>
      <c r="AQ52" s="194"/>
      <c r="AR52" s="194"/>
      <c r="AS52" s="194"/>
      <c r="AT52" s="194"/>
      <c r="AU52" s="194"/>
      <c r="AV52" s="194"/>
      <c r="AW52" s="194"/>
      <c r="AX52" s="194"/>
      <c r="AY52" s="194"/>
      <c r="AZ52" s="194"/>
      <c r="BA52" s="194"/>
      <c r="BB52" s="194"/>
      <c r="BC52" s="194"/>
      <c r="BD52" s="365"/>
      <c r="BE52" s="365"/>
      <c r="BF52" s="365"/>
      <c r="BG52" s="365"/>
      <c r="BH52" s="365"/>
      <c r="BI52" s="365"/>
      <c r="BJ52" s="365"/>
      <c r="BK52" s="365"/>
      <c r="BL52" s="365"/>
      <c r="BM52" s="365"/>
      <c r="BN52" s="365"/>
      <c r="BO52" s="365"/>
      <c r="BP52" s="365"/>
      <c r="BQ52" s="365"/>
      <c r="BR52" s="365"/>
      <c r="BS52" s="365"/>
      <c r="BT52" s="365"/>
      <c r="BU52" s="365"/>
      <c r="BV52" s="365"/>
      <c r="BW52" s="365"/>
      <c r="BX52" s="365"/>
      <c r="BY52" s="194"/>
    </row>
    <row r="53" spans="1:80" ht="10.15" customHeight="1" x14ac:dyDescent="0.2">
      <c r="B53" s="365" t="s">
        <v>1177</v>
      </c>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194"/>
      <c r="AG53" s="699">
        <f>'KdU-Berechnung'!AG42</f>
        <v>0</v>
      </c>
      <c r="AH53" s="699"/>
      <c r="AI53" s="699"/>
      <c r="AJ53" s="699"/>
      <c r="AK53" s="699"/>
      <c r="AL53" s="699"/>
      <c r="AM53" s="699"/>
      <c r="AN53" s="699"/>
      <c r="AO53" s="699"/>
      <c r="AP53" s="699"/>
      <c r="AQ53" s="699"/>
      <c r="AR53" s="194"/>
      <c r="AS53" s="194"/>
      <c r="AT53" s="194"/>
      <c r="AU53" s="194"/>
      <c r="AV53" s="194"/>
      <c r="AW53" s="194"/>
      <c r="AX53" s="194"/>
      <c r="AY53" s="194"/>
      <c r="AZ53" s="194"/>
      <c r="BA53" s="194"/>
      <c r="BB53" s="194"/>
      <c r="BC53" s="194"/>
      <c r="BD53" s="365"/>
      <c r="BE53" s="365"/>
      <c r="BF53" s="365"/>
      <c r="BG53" s="365"/>
      <c r="BH53" s="365"/>
      <c r="BI53" s="365"/>
      <c r="BJ53" s="365"/>
      <c r="BK53" s="365"/>
      <c r="BL53" s="365"/>
      <c r="BM53" s="365"/>
      <c r="BN53" s="365"/>
      <c r="BO53" s="365"/>
      <c r="BP53" s="365"/>
      <c r="BQ53" s="365"/>
      <c r="BR53" s="365"/>
      <c r="BS53" s="365"/>
      <c r="BT53" s="365"/>
      <c r="BU53" s="365"/>
      <c r="BV53" s="365"/>
      <c r="BW53" s="365"/>
      <c r="BX53" s="365"/>
      <c r="BY53" s="194"/>
    </row>
    <row r="54" spans="1:80" ht="3.2" customHeight="1" x14ac:dyDescent="0.2">
      <c r="B54" s="365"/>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194"/>
      <c r="AG54" s="522"/>
      <c r="AH54" s="522"/>
      <c r="AI54" s="522"/>
      <c r="AJ54" s="522"/>
      <c r="AK54" s="522"/>
      <c r="AL54" s="522"/>
      <c r="AM54" s="522"/>
      <c r="AN54" s="522"/>
      <c r="AO54" s="522"/>
      <c r="AP54" s="522"/>
      <c r="AQ54" s="522"/>
      <c r="AR54" s="194"/>
      <c r="AS54" s="194"/>
      <c r="AT54" s="194"/>
      <c r="AU54" s="194"/>
      <c r="AV54" s="194"/>
      <c r="AW54" s="194"/>
      <c r="AX54" s="194"/>
      <c r="AY54" s="194"/>
      <c r="AZ54" s="194"/>
      <c r="BA54" s="194"/>
      <c r="BB54" s="194"/>
      <c r="BC54" s="194"/>
      <c r="BD54" s="365"/>
      <c r="BE54" s="365"/>
      <c r="BF54" s="365"/>
      <c r="BG54" s="365"/>
      <c r="BH54" s="365"/>
      <c r="BI54" s="365"/>
      <c r="BJ54" s="365"/>
      <c r="BK54" s="365"/>
      <c r="BL54" s="365"/>
      <c r="BM54" s="365"/>
      <c r="BN54" s="365"/>
      <c r="BO54" s="365"/>
      <c r="BP54" s="365"/>
      <c r="BQ54" s="365"/>
      <c r="BR54" s="365"/>
      <c r="BS54" s="365"/>
      <c r="BT54" s="365"/>
      <c r="BU54" s="365"/>
      <c r="BV54" s="365"/>
      <c r="BW54" s="365"/>
      <c r="BX54" s="365"/>
      <c r="BY54" s="194"/>
    </row>
    <row r="55" spans="1:80" ht="10.15" customHeight="1" x14ac:dyDescent="0.2">
      <c r="B55" s="365" t="s">
        <v>1178</v>
      </c>
      <c r="C55" s="365"/>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194"/>
      <c r="AG55" s="699">
        <f>'KdU-Berechnung'!AG48</f>
        <v>0</v>
      </c>
      <c r="AH55" s="699"/>
      <c r="AI55" s="699"/>
      <c r="AJ55" s="699"/>
      <c r="AK55" s="699"/>
      <c r="AL55" s="699"/>
      <c r="AM55" s="699"/>
      <c r="AN55" s="699"/>
      <c r="AO55" s="699"/>
      <c r="AP55" s="699"/>
      <c r="AQ55" s="699"/>
      <c r="AR55" s="194"/>
      <c r="AS55" s="194"/>
      <c r="AT55" s="194"/>
      <c r="AU55" s="194"/>
      <c r="AV55" s="194"/>
      <c r="AW55" s="194"/>
      <c r="AX55" s="194"/>
      <c r="AY55" s="194"/>
      <c r="AZ55" s="194"/>
      <c r="BA55" s="194"/>
      <c r="BB55" s="194"/>
      <c r="BC55" s="194"/>
      <c r="BD55" s="365"/>
      <c r="BE55" s="365"/>
      <c r="BF55" s="365"/>
      <c r="BG55" s="365"/>
      <c r="BH55" s="365"/>
      <c r="BI55" s="365"/>
      <c r="BJ55" s="365"/>
      <c r="BK55" s="365"/>
      <c r="BL55" s="365"/>
      <c r="BM55" s="365"/>
      <c r="BN55" s="365"/>
      <c r="BO55" s="365"/>
      <c r="BP55" s="365"/>
      <c r="BQ55" s="365"/>
      <c r="BR55" s="365"/>
      <c r="BS55" s="365"/>
      <c r="BT55" s="365"/>
      <c r="BU55" s="365"/>
      <c r="BV55" s="365"/>
      <c r="BW55" s="365"/>
      <c r="BX55" s="365"/>
      <c r="BY55" s="194"/>
    </row>
    <row r="56" spans="1:80" ht="20.100000000000001" customHeight="1" x14ac:dyDescent="0.2">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194"/>
      <c r="AG56" s="194"/>
      <c r="AH56" s="365"/>
      <c r="AI56" s="365"/>
      <c r="AJ56" s="365"/>
      <c r="AK56" s="365"/>
      <c r="AL56" s="365"/>
      <c r="AM56" s="365"/>
      <c r="AN56" s="365"/>
      <c r="AO56" s="365"/>
      <c r="AP56" s="365"/>
      <c r="AQ56" s="194"/>
      <c r="AR56" s="194"/>
      <c r="AS56" s="194"/>
      <c r="AT56" s="194"/>
      <c r="AU56" s="194"/>
      <c r="AV56" s="194"/>
      <c r="AW56" s="194"/>
      <c r="AX56" s="194"/>
      <c r="AY56" s="194"/>
      <c r="AZ56" s="194"/>
      <c r="BA56" s="194"/>
      <c r="BB56" s="194"/>
      <c r="BC56" s="194"/>
      <c r="BD56" s="365"/>
      <c r="BE56" s="365"/>
      <c r="BF56" s="365"/>
      <c r="BG56" s="365"/>
      <c r="BH56" s="365"/>
      <c r="BI56" s="365"/>
      <c r="BJ56" s="365"/>
      <c r="BK56" s="365"/>
      <c r="BL56" s="365"/>
      <c r="BM56" s="365"/>
      <c r="BN56" s="365"/>
      <c r="BO56" s="365"/>
      <c r="BP56" s="365"/>
      <c r="BQ56" s="365"/>
      <c r="BR56" s="365"/>
      <c r="BS56" s="365"/>
      <c r="BT56" s="365"/>
      <c r="BU56" s="365"/>
      <c r="BV56" s="365"/>
      <c r="BW56" s="365"/>
      <c r="BX56" s="365"/>
      <c r="BY56" s="194"/>
    </row>
    <row r="57" spans="1:80" ht="15" x14ac:dyDescent="0.25">
      <c r="B57" s="384" t="s">
        <v>1112</v>
      </c>
    </row>
    <row r="58" spans="1:80" ht="4.9000000000000004" customHeight="1" x14ac:dyDescent="0.25">
      <c r="B58" s="384"/>
    </row>
    <row r="59" spans="1:80" x14ac:dyDescent="0.2">
      <c r="B59" s="731" t="str">
        <f>IF(Daten!D86&lt;&gt;12,"Alle Berechnungen bezogen auf "&amp;TEXT(Daten!D86,0)&amp;" Heizkostenabschläge pro Jahr!","")</f>
        <v>Alle Berechnungen bezogen auf nicht ausgewählt Heizkostenabschläge pro Jahr!</v>
      </c>
      <c r="C59" s="731"/>
      <c r="D59" s="731"/>
      <c r="E59" s="731"/>
      <c r="F59" s="731"/>
      <c r="G59" s="731"/>
      <c r="H59" s="731"/>
      <c r="I59" s="731"/>
      <c r="J59" s="731"/>
      <c r="K59" s="731"/>
      <c r="L59" s="731"/>
      <c r="M59" s="731"/>
      <c r="N59" s="731"/>
      <c r="O59" s="731"/>
      <c r="P59" s="731"/>
      <c r="Q59" s="731"/>
      <c r="R59" s="731"/>
      <c r="S59" s="731"/>
      <c r="T59" s="731"/>
      <c r="U59" s="731"/>
      <c r="V59" s="731"/>
      <c r="W59" s="731"/>
      <c r="X59" s="731"/>
      <c r="Y59" s="731"/>
      <c r="Z59" s="731"/>
      <c r="AA59" s="731"/>
      <c r="AB59" s="731"/>
      <c r="AC59" s="731"/>
      <c r="AD59" s="731"/>
      <c r="AE59" s="731"/>
      <c r="AF59" s="731"/>
      <c r="AG59" s="731"/>
      <c r="AH59" s="731"/>
      <c r="AI59" s="731"/>
      <c r="AJ59" s="731"/>
      <c r="AK59" s="731"/>
      <c r="AL59" s="731"/>
      <c r="AM59" s="731"/>
      <c r="AN59" s="731"/>
      <c r="AO59" s="731"/>
      <c r="AP59" s="731"/>
      <c r="AQ59" s="731"/>
      <c r="AR59" s="731"/>
      <c r="AS59" s="731"/>
      <c r="AT59" s="731"/>
      <c r="AU59" s="731"/>
      <c r="AV59" s="731"/>
      <c r="AW59" s="731"/>
      <c r="AX59" s="731"/>
      <c r="AY59" s="731"/>
      <c r="AZ59" s="731"/>
      <c r="BA59" s="731"/>
      <c r="BB59" s="731"/>
      <c r="BC59" s="731"/>
      <c r="BD59" s="731"/>
      <c r="BE59" s="731"/>
      <c r="BF59" s="731"/>
      <c r="BG59" s="731"/>
      <c r="BH59" s="731"/>
      <c r="BI59" s="731"/>
      <c r="BJ59" s="731"/>
      <c r="BK59" s="731"/>
      <c r="BL59" s="731"/>
      <c r="BM59" s="731"/>
      <c r="BN59" s="731"/>
      <c r="BO59" s="731"/>
      <c r="BP59" s="731"/>
      <c r="BQ59" s="731"/>
      <c r="BR59" s="731"/>
      <c r="BS59" s="731"/>
      <c r="BT59" s="731"/>
      <c r="BU59" s="731"/>
      <c r="BV59" s="731"/>
      <c r="BW59" s="731"/>
      <c r="BX59" s="731"/>
      <c r="BY59" s="731"/>
    </row>
    <row r="60" spans="1:80" ht="4.9000000000000004" customHeight="1" x14ac:dyDescent="0.25">
      <c r="B60" s="384"/>
    </row>
    <row r="61" spans="1:80" s="365" customFormat="1" ht="11.25" x14ac:dyDescent="0.2">
      <c r="B61" s="510" t="s">
        <v>1156</v>
      </c>
      <c r="AF61" s="194"/>
      <c r="AG61" s="194"/>
      <c r="AQ61" s="194"/>
      <c r="AR61" s="194"/>
      <c r="AS61" s="194"/>
      <c r="AT61" s="194"/>
      <c r="AU61" s="194"/>
      <c r="AV61" s="194"/>
      <c r="AW61" s="194"/>
      <c r="AX61" s="194"/>
      <c r="AY61" s="194"/>
      <c r="AZ61" s="194"/>
      <c r="BA61" s="194"/>
      <c r="BB61" s="194"/>
      <c r="BC61" s="194"/>
      <c r="BY61" s="194"/>
    </row>
    <row r="62" spans="1:80" s="365" customFormat="1" ht="15" customHeight="1" x14ac:dyDescent="0.2">
      <c r="A62" s="194"/>
      <c r="B62" s="518"/>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4"/>
      <c r="BR62" s="194"/>
      <c r="BS62" s="194"/>
      <c r="BT62" s="194"/>
      <c r="BU62" s="194"/>
      <c r="BV62" s="194"/>
      <c r="BW62" s="194"/>
      <c r="BX62" s="194"/>
      <c r="BY62" s="194"/>
      <c r="BZ62" s="194"/>
      <c r="CA62" s="194"/>
      <c r="CB62" s="194"/>
    </row>
    <row r="63" spans="1:80" s="365" customFormat="1" ht="10.15" customHeight="1" x14ac:dyDescent="0.2">
      <c r="A63" s="194"/>
      <c r="B63" s="566" t="e">
        <f>"angem. Bruttokaltmiete ="&amp;" "&amp;TEXT(Daten!E511,"0,00")&amp;" "&amp;"Euro"</f>
        <v>#N/A</v>
      </c>
      <c r="C63" s="567"/>
      <c r="D63" s="567"/>
      <c r="E63" s="567"/>
      <c r="F63" s="567"/>
      <c r="G63" s="567"/>
      <c r="H63" s="567"/>
      <c r="I63" s="567"/>
      <c r="J63" s="567"/>
      <c r="K63" s="567"/>
      <c r="L63" s="567"/>
      <c r="M63" s="567"/>
      <c r="N63" s="567"/>
      <c r="O63" s="567"/>
      <c r="P63" s="567"/>
      <c r="Q63" s="567"/>
      <c r="R63" s="567"/>
      <c r="S63" s="567"/>
      <c r="T63" s="567"/>
      <c r="U63" s="567"/>
      <c r="V63" s="568"/>
      <c r="W63" s="567"/>
      <c r="X63" s="567"/>
      <c r="Y63" s="567" t="str">
        <f>"tats. Bruttokaltmiete ="&amp;" "&amp;TEXT(Daten!E504,"0,00")&amp;" "&amp;"Euro"</f>
        <v>tats. Bruttokaltmiete = 0,00 Euro</v>
      </c>
      <c r="Z63" s="567"/>
      <c r="AA63" s="569"/>
      <c r="AB63" s="567"/>
      <c r="AC63" s="570"/>
      <c r="AD63" s="571"/>
      <c r="AE63" s="567"/>
      <c r="AF63" s="567"/>
      <c r="AG63" s="567"/>
      <c r="AH63" s="567"/>
      <c r="AI63" s="567"/>
      <c r="AJ63" s="567"/>
      <c r="AK63" s="567"/>
      <c r="AL63" s="567"/>
      <c r="AM63" s="567"/>
      <c r="AN63" s="567"/>
      <c r="AO63" s="567"/>
      <c r="AP63" s="567"/>
      <c r="AQ63" s="567"/>
      <c r="AR63" s="572"/>
      <c r="AS63" s="727" t="s">
        <v>1403</v>
      </c>
      <c r="AT63" s="728"/>
      <c r="AU63" s="728"/>
      <c r="AV63" s="730" t="e">
        <f>IF(Daten!E523=1,"Bruttokaltmiete unangemessen",IF(Daten!E523=0,"Bruttokaltmiete angemessen",""))</f>
        <v>#N/A</v>
      </c>
      <c r="AW63" s="730"/>
      <c r="AX63" s="730"/>
      <c r="AY63" s="730"/>
      <c r="AZ63" s="730"/>
      <c r="BA63" s="730"/>
      <c r="BB63" s="730"/>
      <c r="BC63" s="730"/>
      <c r="BD63" s="730"/>
      <c r="BE63" s="730"/>
      <c r="BF63" s="730"/>
      <c r="BG63" s="730"/>
      <c r="BH63" s="730"/>
      <c r="BI63" s="730"/>
      <c r="BJ63" s="730"/>
      <c r="BK63" s="730"/>
      <c r="BL63" s="730"/>
      <c r="BN63" s="563"/>
      <c r="BO63" s="563"/>
      <c r="BP63" s="563"/>
      <c r="BQ63" s="563"/>
      <c r="BR63" s="563"/>
      <c r="BS63" s="563"/>
      <c r="BT63" s="563"/>
      <c r="BU63" s="563"/>
      <c r="BV63" s="563"/>
      <c r="BW63" s="563"/>
      <c r="BX63" s="563"/>
      <c r="BY63" s="563"/>
      <c r="BZ63" s="194"/>
      <c r="CA63" s="194"/>
      <c r="CB63" s="194"/>
    </row>
    <row r="64" spans="1:80" s="365" customFormat="1" ht="10.15" customHeight="1" x14ac:dyDescent="0.2">
      <c r="A64" s="194"/>
      <c r="B64" s="570" t="e">
        <f>"(Datengrundlage:"&amp;" "&amp;Daten!F285&amp;")"</f>
        <v>#N/A</v>
      </c>
      <c r="C64" s="567"/>
      <c r="D64" s="567"/>
      <c r="E64" s="567"/>
      <c r="F64" s="567"/>
      <c r="G64" s="567"/>
      <c r="H64" s="567"/>
      <c r="I64" s="567"/>
      <c r="J64" s="567"/>
      <c r="K64" s="567"/>
      <c r="L64" s="567"/>
      <c r="M64" s="567"/>
      <c r="N64" s="567"/>
      <c r="O64" s="567"/>
      <c r="P64" s="567"/>
      <c r="Q64" s="567"/>
      <c r="R64" s="567"/>
      <c r="S64" s="567"/>
      <c r="T64" s="567"/>
      <c r="U64" s="567"/>
      <c r="V64" s="568"/>
      <c r="W64" s="567"/>
      <c r="X64" s="567"/>
      <c r="Y64" s="567" t="str">
        <f>"(davon Betriebskosten"&amp;" "&amp;TEXT(Daten!E505,"0,00")&amp;" "&amp;"Euro)"</f>
        <v>(davon Betriebskosten 0,00 Euro)</v>
      </c>
      <c r="Z64" s="567"/>
      <c r="AA64" s="569"/>
      <c r="AB64" s="567"/>
      <c r="AC64" s="567"/>
      <c r="AD64" s="571"/>
      <c r="AE64" s="567"/>
      <c r="AF64" s="567"/>
      <c r="AG64" s="567"/>
      <c r="AH64" s="567"/>
      <c r="AI64" s="567"/>
      <c r="AJ64" s="567"/>
      <c r="AK64" s="567"/>
      <c r="AL64" s="567"/>
      <c r="AM64" s="567"/>
      <c r="AN64" s="567"/>
      <c r="AO64" s="567"/>
      <c r="AP64" s="567"/>
      <c r="AQ64" s="567"/>
      <c r="AR64" s="572"/>
      <c r="AS64" s="727"/>
      <c r="AT64" s="728"/>
      <c r="AU64" s="728"/>
      <c r="AV64" s="730"/>
      <c r="AW64" s="730"/>
      <c r="AX64" s="730"/>
      <c r="AY64" s="730"/>
      <c r="AZ64" s="730"/>
      <c r="BA64" s="730"/>
      <c r="BB64" s="730"/>
      <c r="BC64" s="730"/>
      <c r="BD64" s="730"/>
      <c r="BE64" s="730"/>
      <c r="BF64" s="730"/>
      <c r="BG64" s="730"/>
      <c r="BH64" s="730"/>
      <c r="BI64" s="730"/>
      <c r="BJ64" s="730"/>
      <c r="BK64" s="730"/>
      <c r="BL64" s="730"/>
      <c r="BM64" s="563"/>
      <c r="BN64" s="563"/>
      <c r="BO64" s="563"/>
      <c r="BP64" s="563"/>
      <c r="BQ64" s="563"/>
      <c r="BR64" s="563"/>
      <c r="BS64" s="563"/>
      <c r="BT64" s="563"/>
      <c r="BU64" s="563"/>
      <c r="BV64" s="563"/>
      <c r="BW64" s="563"/>
      <c r="BX64" s="563"/>
      <c r="BY64" s="563"/>
      <c r="BZ64" s="194"/>
      <c r="CA64" s="194"/>
      <c r="CB64" s="194"/>
    </row>
    <row r="65" spans="1:80" s="365" customFormat="1" ht="10.15" customHeight="1" x14ac:dyDescent="0.2">
      <c r="A65" s="194"/>
      <c r="B65" s="570"/>
      <c r="C65" s="567"/>
      <c r="D65" s="567"/>
      <c r="E65" s="567"/>
      <c r="F65" s="567"/>
      <c r="G65" s="567"/>
      <c r="H65" s="567"/>
      <c r="I65" s="567"/>
      <c r="J65" s="567"/>
      <c r="K65" s="567"/>
      <c r="L65" s="567"/>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c r="AQ65" s="567"/>
      <c r="AR65" s="567"/>
      <c r="AS65" s="562"/>
      <c r="AT65" s="562"/>
      <c r="AU65" s="562"/>
      <c r="AV65" s="562"/>
      <c r="AW65" s="562"/>
      <c r="AX65" s="562"/>
      <c r="AY65" s="562"/>
      <c r="AZ65" s="562"/>
      <c r="BA65" s="562"/>
      <c r="BB65" s="562"/>
      <c r="BC65" s="564"/>
      <c r="BD65" s="564"/>
      <c r="BE65" s="564"/>
      <c r="BF65" s="564"/>
      <c r="BG65" s="564"/>
      <c r="BH65" s="564"/>
      <c r="BI65" s="564"/>
      <c r="BJ65" s="564"/>
      <c r="BK65" s="564"/>
      <c r="BL65" s="564"/>
      <c r="BM65" s="564"/>
      <c r="BN65" s="564"/>
      <c r="BO65" s="564"/>
      <c r="BP65" s="564"/>
      <c r="BQ65" s="564"/>
      <c r="BR65" s="564"/>
      <c r="BS65" s="564"/>
      <c r="BT65" s="564"/>
      <c r="BU65" s="564"/>
      <c r="BV65" s="564"/>
      <c r="BW65" s="564"/>
      <c r="BX65" s="564"/>
      <c r="BY65" s="564"/>
      <c r="BZ65" s="194"/>
      <c r="CA65" s="194"/>
      <c r="CB65" s="194"/>
    </row>
    <row r="66" spans="1:80" s="365" customFormat="1" ht="10.15" customHeight="1" x14ac:dyDescent="0.2">
      <c r="A66" s="194"/>
      <c r="B66" s="567" t="e">
        <f>"angem. Heizkosten mtl. ="&amp;" "&amp;TEXT(Daten!E515,"0,00")&amp;" "&amp;"Euro"</f>
        <v>#N/A</v>
      </c>
      <c r="C66" s="567"/>
      <c r="D66" s="567"/>
      <c r="E66" s="567"/>
      <c r="F66" s="567"/>
      <c r="G66" s="567"/>
      <c r="H66" s="567"/>
      <c r="I66" s="567"/>
      <c r="J66" s="567"/>
      <c r="K66" s="567"/>
      <c r="L66" s="567"/>
      <c r="M66" s="567"/>
      <c r="N66" s="567"/>
      <c r="O66" s="567"/>
      <c r="P66" s="567"/>
      <c r="Q66" s="567"/>
      <c r="R66" s="567"/>
      <c r="S66" s="567"/>
      <c r="T66" s="567"/>
      <c r="U66" s="567"/>
      <c r="V66" s="572"/>
      <c r="W66" s="567"/>
      <c r="X66" s="567"/>
      <c r="Y66" s="567" t="str">
        <f>"tats. Heizkosten mtl. ="&amp;" "&amp;TEXT(Daten!E509,"0,00")&amp;" "&amp;"Euro"</f>
        <v>tats. Heizkosten mtl. = 0,00 Euro</v>
      </c>
      <c r="Z66" s="567"/>
      <c r="AA66" s="567"/>
      <c r="AB66" s="567"/>
      <c r="AC66" s="567"/>
      <c r="AD66" s="571"/>
      <c r="AE66" s="567"/>
      <c r="AF66" s="567"/>
      <c r="AG66" s="567"/>
      <c r="AH66" s="567"/>
      <c r="AI66" s="567"/>
      <c r="AJ66" s="567"/>
      <c r="AK66" s="567"/>
      <c r="AL66" s="567"/>
      <c r="AM66" s="567"/>
      <c r="AN66" s="567"/>
      <c r="AO66" s="567"/>
      <c r="AP66" s="567"/>
      <c r="AQ66" s="567"/>
      <c r="AR66" s="572"/>
      <c r="AS66" s="727" t="s">
        <v>1403</v>
      </c>
      <c r="AT66" s="728"/>
      <c r="AU66" s="728"/>
      <c r="AV66" s="729" t="e">
        <f>IF(Daten!E524=1,"Heizkosten unangemessen                      (bezogen auf angemessene Wohnfläche)",IF(Daten!E524=0,"Heizkosten angemessen                       (bezogen auf angemessene Wohnfläche)",""))</f>
        <v>#N/A</v>
      </c>
      <c r="AW66" s="729"/>
      <c r="AX66" s="729"/>
      <c r="AY66" s="729"/>
      <c r="AZ66" s="729"/>
      <c r="BA66" s="729"/>
      <c r="BB66" s="729"/>
      <c r="BC66" s="729"/>
      <c r="BD66" s="729"/>
      <c r="BE66" s="729"/>
      <c r="BF66" s="729"/>
      <c r="BG66" s="729"/>
      <c r="BH66" s="729"/>
      <c r="BI66" s="729"/>
      <c r="BJ66" s="729"/>
      <c r="BK66" s="729"/>
      <c r="BL66" s="729"/>
      <c r="BM66" s="729"/>
      <c r="BN66" s="729"/>
      <c r="BO66" s="729"/>
      <c r="BP66" s="729"/>
      <c r="BQ66" s="729"/>
      <c r="BR66" s="565"/>
      <c r="BS66" s="565"/>
      <c r="BT66" s="565"/>
      <c r="BU66" s="565"/>
      <c r="BV66" s="565"/>
      <c r="BW66" s="565"/>
      <c r="BX66" s="565"/>
      <c r="BY66" s="565"/>
      <c r="BZ66" s="194"/>
      <c r="CA66" s="194"/>
      <c r="CB66" s="194"/>
    </row>
    <row r="67" spans="1:80" s="365" customFormat="1" ht="10.15" customHeight="1" x14ac:dyDescent="0.2">
      <c r="A67" s="194"/>
      <c r="B67" s="567" t="s">
        <v>1404</v>
      </c>
      <c r="C67" s="567"/>
      <c r="D67" s="567"/>
      <c r="E67" s="567"/>
      <c r="F67" s="567"/>
      <c r="G67" s="567"/>
      <c r="H67" s="567"/>
      <c r="I67" s="567"/>
      <c r="J67" s="567"/>
      <c r="K67" s="567"/>
      <c r="L67" s="567"/>
      <c r="M67" s="567"/>
      <c r="N67" s="567"/>
      <c r="O67" s="567"/>
      <c r="P67" s="567"/>
      <c r="Q67" s="567"/>
      <c r="R67" s="567"/>
      <c r="S67" s="567"/>
      <c r="T67" s="567"/>
      <c r="U67" s="567"/>
      <c r="V67" s="572"/>
      <c r="W67" s="567"/>
      <c r="X67" s="567"/>
      <c r="Y67" s="567" t="str">
        <f>"(davon Betriebsstrom"&amp;" "&amp;TEXT(Daten!E508,"0,00")&amp;" "&amp;"Euro)"</f>
        <v>(davon Betriebsstrom 0,00 Euro)</v>
      </c>
      <c r="Z67" s="567"/>
      <c r="AA67" s="567"/>
      <c r="AB67" s="567"/>
      <c r="AC67" s="567"/>
      <c r="AD67" s="571"/>
      <c r="AE67" s="567"/>
      <c r="AF67" s="567"/>
      <c r="AG67" s="567"/>
      <c r="AH67" s="567"/>
      <c r="AI67" s="567"/>
      <c r="AJ67" s="567"/>
      <c r="AK67" s="567"/>
      <c r="AL67" s="567"/>
      <c r="AM67" s="567"/>
      <c r="AN67" s="567"/>
      <c r="AO67" s="567"/>
      <c r="AP67" s="567"/>
      <c r="AQ67" s="567"/>
      <c r="AR67" s="572"/>
      <c r="AS67" s="727"/>
      <c r="AT67" s="728"/>
      <c r="AU67" s="728"/>
      <c r="AV67" s="729"/>
      <c r="AW67" s="729"/>
      <c r="AX67" s="729"/>
      <c r="AY67" s="729"/>
      <c r="AZ67" s="729"/>
      <c r="BA67" s="729"/>
      <c r="BB67" s="729"/>
      <c r="BC67" s="729"/>
      <c r="BD67" s="729"/>
      <c r="BE67" s="729"/>
      <c r="BF67" s="729"/>
      <c r="BG67" s="729"/>
      <c r="BH67" s="729"/>
      <c r="BI67" s="729"/>
      <c r="BJ67" s="729"/>
      <c r="BK67" s="729"/>
      <c r="BL67" s="729"/>
      <c r="BM67" s="729"/>
      <c r="BN67" s="729"/>
      <c r="BO67" s="729"/>
      <c r="BP67" s="729"/>
      <c r="BQ67" s="729"/>
      <c r="BR67" s="565"/>
      <c r="BS67" s="565"/>
      <c r="BT67" s="565"/>
      <c r="BU67" s="565"/>
      <c r="BV67" s="565"/>
      <c r="BW67" s="565"/>
      <c r="BX67" s="565"/>
      <c r="BY67" s="565"/>
      <c r="BZ67" s="194"/>
      <c r="CA67" s="194"/>
      <c r="CB67" s="194"/>
    </row>
    <row r="68" spans="1:80" s="365" customFormat="1" ht="10.15" customHeight="1" x14ac:dyDescent="0.2">
      <c r="A68" s="194"/>
      <c r="B68" s="567" t="str">
        <f>"bezogen auf "&amp;TEXT(Daten!D86,0)&amp;" "&amp;"Abschläge jährlich"</f>
        <v>bezogen auf nicht ausgewählt Abschläge jährlich</v>
      </c>
      <c r="C68" s="567"/>
      <c r="D68" s="567"/>
      <c r="E68" s="567"/>
      <c r="F68" s="567"/>
      <c r="G68" s="567"/>
      <c r="H68" s="567"/>
      <c r="I68" s="567"/>
      <c r="J68" s="567"/>
      <c r="K68" s="567"/>
      <c r="L68" s="567"/>
      <c r="M68" s="567"/>
      <c r="N68" s="567"/>
      <c r="O68" s="567"/>
      <c r="P68" s="567"/>
      <c r="Q68" s="567"/>
      <c r="R68" s="567"/>
      <c r="S68" s="567"/>
      <c r="T68" s="567"/>
      <c r="U68" s="567"/>
      <c r="V68" s="572"/>
      <c r="W68" s="567"/>
      <c r="X68" s="567"/>
      <c r="Y68" s="567" t="str">
        <f>TEXT(Daten!D86,0)&amp;" "&amp;"Abschläge jährlich"</f>
        <v>nicht ausgewählt Abschläge jährlich</v>
      </c>
      <c r="Z68" s="567"/>
      <c r="AA68" s="567"/>
      <c r="AB68" s="567"/>
      <c r="AC68" s="567"/>
      <c r="AD68" s="571"/>
      <c r="AE68" s="567"/>
      <c r="AF68" s="567"/>
      <c r="AG68" s="567"/>
      <c r="AH68" s="567"/>
      <c r="AI68" s="567"/>
      <c r="AJ68" s="567"/>
      <c r="AK68" s="567"/>
      <c r="AL68" s="567"/>
      <c r="AM68" s="567"/>
      <c r="AN68" s="567"/>
      <c r="AO68" s="567"/>
      <c r="AP68" s="567"/>
      <c r="AQ68" s="567"/>
      <c r="AR68" s="572"/>
      <c r="AS68" s="727"/>
      <c r="AT68" s="728"/>
      <c r="AU68" s="728"/>
      <c r="AV68" s="729"/>
      <c r="AW68" s="729"/>
      <c r="AX68" s="729"/>
      <c r="AY68" s="729"/>
      <c r="AZ68" s="729"/>
      <c r="BA68" s="729"/>
      <c r="BB68" s="729"/>
      <c r="BC68" s="729"/>
      <c r="BD68" s="729"/>
      <c r="BE68" s="729"/>
      <c r="BF68" s="729"/>
      <c r="BG68" s="729"/>
      <c r="BH68" s="729"/>
      <c r="BI68" s="729"/>
      <c r="BJ68" s="729"/>
      <c r="BK68" s="729"/>
      <c r="BL68" s="729"/>
      <c r="BM68" s="729"/>
      <c r="BN68" s="729"/>
      <c r="BO68" s="729"/>
      <c r="BP68" s="729"/>
      <c r="BQ68" s="729"/>
      <c r="BR68" s="565"/>
      <c r="BS68" s="565"/>
      <c r="BT68" s="565"/>
      <c r="BU68" s="565"/>
      <c r="BV68" s="565"/>
      <c r="BW68" s="565"/>
      <c r="BX68" s="565"/>
      <c r="BY68" s="565"/>
      <c r="BZ68" s="194"/>
      <c r="CA68" s="194"/>
      <c r="CB68" s="194"/>
    </row>
    <row r="69" spans="1:80" s="365" customFormat="1" ht="15" customHeight="1" x14ac:dyDescent="0.2">
      <c r="A69" s="194"/>
      <c r="B69" s="518"/>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4"/>
      <c r="AZ69" s="194"/>
      <c r="BA69" s="194"/>
      <c r="BB69" s="194"/>
      <c r="BC69" s="194"/>
      <c r="BD69" s="194"/>
      <c r="BE69" s="194"/>
      <c r="BF69" s="194"/>
      <c r="BG69" s="194"/>
      <c r="BH69" s="194"/>
      <c r="BI69" s="194"/>
      <c r="BJ69" s="194"/>
      <c r="BK69" s="194"/>
      <c r="BL69" s="194"/>
      <c r="BM69" s="194"/>
      <c r="BN69" s="194"/>
      <c r="BO69" s="194"/>
      <c r="BP69" s="194"/>
      <c r="BQ69" s="194"/>
      <c r="BR69" s="194"/>
      <c r="BS69" s="194"/>
      <c r="BT69" s="194"/>
      <c r="BU69" s="194"/>
      <c r="BV69" s="194"/>
      <c r="BW69" s="194"/>
      <c r="BX69" s="194"/>
      <c r="BY69" s="194"/>
      <c r="BZ69" s="194"/>
      <c r="CA69" s="194"/>
      <c r="CB69" s="194"/>
    </row>
    <row r="70" spans="1:80" s="365" customFormat="1" ht="11.25" x14ac:dyDescent="0.2">
      <c r="A70" s="194"/>
      <c r="B70" s="195" t="s">
        <v>888</v>
      </c>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5"/>
      <c r="AF70" s="195"/>
      <c r="AG70" s="194"/>
      <c r="AH70" s="194"/>
      <c r="AI70" s="194"/>
      <c r="AJ70" s="194"/>
      <c r="AK70" s="194"/>
      <c r="AL70" s="194"/>
      <c r="AM70" s="194"/>
      <c r="AN70" s="194"/>
      <c r="AO70" s="194"/>
      <c r="AP70" s="194"/>
      <c r="AQ70" s="194" t="s">
        <v>687</v>
      </c>
      <c r="AR70" s="194"/>
      <c r="AS70" s="697" t="e">
        <f>Daten!E521</f>
        <v>#N/A</v>
      </c>
      <c r="AT70" s="697"/>
      <c r="AU70" s="697"/>
      <c r="AV70" s="697"/>
      <c r="AW70" s="697"/>
      <c r="AX70" s="697"/>
      <c r="AY70" s="697"/>
      <c r="BA70" s="194" t="s">
        <v>371</v>
      </c>
      <c r="BK70" s="194"/>
      <c r="BL70" s="194"/>
      <c r="BM70" s="194"/>
      <c r="BN70" s="194"/>
      <c r="BO70" s="194"/>
      <c r="BP70" s="194"/>
      <c r="BQ70" s="194"/>
      <c r="BR70" s="194"/>
      <c r="BS70" s="194"/>
      <c r="BT70" s="194"/>
      <c r="BU70" s="194"/>
      <c r="BV70" s="194"/>
      <c r="BW70" s="194"/>
      <c r="BX70" s="194"/>
      <c r="BY70" s="194"/>
      <c r="BZ70" s="194"/>
      <c r="CA70" s="194"/>
      <c r="CB70" s="194"/>
    </row>
    <row r="71" spans="1:80" s="365" customFormat="1" ht="5.0999999999999996" customHeight="1" x14ac:dyDescent="0.2">
      <c r="A71" s="194"/>
      <c r="B71" s="194"/>
      <c r="C71" s="194"/>
      <c r="D71" s="195"/>
      <c r="E71" s="195"/>
      <c r="F71" s="194"/>
      <c r="G71" s="195"/>
      <c r="H71" s="195"/>
      <c r="I71" s="195"/>
      <c r="J71" s="195"/>
      <c r="K71" s="195"/>
      <c r="L71" s="195"/>
      <c r="M71" s="194"/>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4"/>
      <c r="AL71" s="194"/>
      <c r="AM71" s="194"/>
      <c r="AN71" s="194"/>
      <c r="AO71" s="194"/>
      <c r="AP71" s="194"/>
      <c r="AQ71" s="194"/>
      <c r="BI71" s="194"/>
      <c r="BJ71" s="424"/>
      <c r="BK71" s="194"/>
      <c r="BL71" s="194"/>
      <c r="BM71" s="194"/>
      <c r="BN71" s="194"/>
      <c r="BO71" s="194"/>
      <c r="BP71" s="194"/>
      <c r="BQ71" s="194"/>
      <c r="BR71" s="194"/>
      <c r="BS71" s="194"/>
      <c r="BT71" s="194"/>
      <c r="BU71" s="194"/>
      <c r="BV71" s="194"/>
      <c r="BW71" s="194"/>
      <c r="BX71" s="194"/>
      <c r="BY71" s="194"/>
      <c r="BZ71" s="194"/>
      <c r="CA71" s="194"/>
      <c r="CB71" s="194"/>
    </row>
    <row r="72" spans="1:80" s="365" customFormat="1" ht="11.25" customHeight="1" x14ac:dyDescent="0.2">
      <c r="A72" s="194"/>
      <c r="B72" s="195" t="s">
        <v>1157</v>
      </c>
      <c r="C72" s="195"/>
      <c r="D72" s="195"/>
      <c r="E72" s="195"/>
      <c r="F72" s="195"/>
      <c r="G72" s="195"/>
      <c r="H72" s="195"/>
      <c r="I72" s="195"/>
      <c r="J72" s="195"/>
      <c r="K72" s="195"/>
      <c r="L72" s="195"/>
      <c r="M72" s="195"/>
      <c r="N72" s="195"/>
      <c r="O72" s="195"/>
      <c r="P72" s="195"/>
      <c r="Q72" s="195"/>
      <c r="R72" s="437"/>
      <c r="S72" s="424"/>
      <c r="T72" s="424"/>
      <c r="U72" s="424"/>
      <c r="V72" s="424"/>
      <c r="W72" s="424"/>
      <c r="X72" s="424"/>
      <c r="Y72" s="424"/>
      <c r="Z72" s="424"/>
      <c r="AA72" s="424"/>
      <c r="AB72" s="424"/>
      <c r="AC72" s="195"/>
      <c r="AD72" s="195"/>
      <c r="AE72" s="195"/>
      <c r="AF72" s="195"/>
      <c r="AG72" s="195"/>
      <c r="AH72" s="195"/>
      <c r="AI72" s="195"/>
      <c r="AJ72" s="195"/>
      <c r="AK72" s="195"/>
      <c r="AL72" s="195"/>
      <c r="AM72" s="195"/>
      <c r="AN72" s="195"/>
      <c r="AO72" s="195"/>
      <c r="AP72" s="195"/>
      <c r="AQ72" s="194" t="s">
        <v>687</v>
      </c>
      <c r="AR72" s="195"/>
      <c r="AS72" s="697">
        <f>Daten!E520</f>
        <v>0</v>
      </c>
      <c r="AT72" s="697"/>
      <c r="AU72" s="697"/>
      <c r="AV72" s="697"/>
      <c r="AW72" s="697"/>
      <c r="AX72" s="697"/>
      <c r="AY72" s="697"/>
      <c r="BA72" s="524" t="s">
        <v>371</v>
      </c>
      <c r="BB72" s="521"/>
      <c r="BC72" s="521"/>
      <c r="BD72" s="521"/>
      <c r="BE72" s="521"/>
      <c r="BF72" s="521"/>
      <c r="BG72" s="521"/>
      <c r="BI72" s="424"/>
      <c r="BK72" s="194"/>
      <c r="BL72" s="194"/>
      <c r="BM72" s="194"/>
      <c r="BN72" s="194"/>
      <c r="BO72" s="194"/>
      <c r="BP72" s="194"/>
      <c r="BQ72" s="194"/>
      <c r="BR72" s="194"/>
      <c r="BS72" s="194"/>
      <c r="BT72" s="194"/>
      <c r="BU72" s="194"/>
      <c r="BV72" s="194"/>
      <c r="BW72" s="194"/>
      <c r="BX72" s="194"/>
      <c r="BY72" s="194"/>
      <c r="BZ72" s="194"/>
      <c r="CA72" s="194"/>
      <c r="CB72" s="194"/>
    </row>
    <row r="73" spans="1:80" s="365" customFormat="1" ht="5.0999999999999996" customHeight="1" x14ac:dyDescent="0.2">
      <c r="A73" s="194"/>
      <c r="B73" s="194"/>
      <c r="C73" s="194"/>
      <c r="D73" s="195"/>
      <c r="E73" s="195"/>
      <c r="F73" s="195"/>
      <c r="G73" s="195"/>
      <c r="H73" s="195"/>
      <c r="I73" s="195"/>
      <c r="J73" s="195"/>
      <c r="K73" s="195"/>
      <c r="L73" s="195"/>
      <c r="M73" s="194"/>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4"/>
      <c r="AL73" s="194"/>
      <c r="AM73" s="194"/>
      <c r="AN73" s="194"/>
      <c r="AO73" s="194"/>
      <c r="AP73" s="194"/>
      <c r="AQ73" s="194"/>
      <c r="AR73" s="194"/>
      <c r="AS73" s="194"/>
      <c r="AT73" s="503"/>
      <c r="AU73" s="195"/>
      <c r="AV73" s="195"/>
      <c r="AW73" s="195"/>
      <c r="AX73" s="195"/>
      <c r="AY73" s="195"/>
      <c r="AZ73" s="195"/>
      <c r="BA73" s="195"/>
      <c r="BB73" s="195"/>
      <c r="BC73" s="195"/>
      <c r="BD73" s="195"/>
      <c r="BE73" s="194"/>
      <c r="BF73" s="424"/>
      <c r="BG73" s="194"/>
      <c r="BH73" s="194"/>
      <c r="BI73" s="424"/>
      <c r="BJ73" s="424"/>
      <c r="BK73" s="194"/>
      <c r="BL73" s="194"/>
      <c r="BM73" s="194"/>
      <c r="BN73" s="194"/>
      <c r="BO73" s="194"/>
      <c r="BP73" s="194"/>
      <c r="BQ73" s="194"/>
      <c r="BR73" s="194"/>
      <c r="BS73" s="194"/>
      <c r="BT73" s="194"/>
      <c r="BU73" s="194"/>
      <c r="BV73" s="194"/>
      <c r="BW73" s="194"/>
      <c r="BX73" s="194"/>
      <c r="BY73" s="194"/>
      <c r="BZ73" s="194"/>
      <c r="CA73" s="194"/>
      <c r="CB73" s="194"/>
    </row>
    <row r="74" spans="1:80" s="365" customFormat="1" ht="11.25" x14ac:dyDescent="0.2">
      <c r="A74" s="194"/>
      <c r="B74" s="429" t="e">
        <f>IF(Daten!E528=0,Daten!G529,IF(Daten!E528=1,Daten!G528,""))</f>
        <v>#N/A</v>
      </c>
      <c r="C74" s="195"/>
      <c r="D74" s="195"/>
      <c r="E74" s="195"/>
      <c r="F74" s="195"/>
      <c r="G74" s="195"/>
      <c r="H74" s="195"/>
      <c r="I74" s="195"/>
      <c r="J74" s="195"/>
      <c r="K74" s="195"/>
      <c r="L74" s="195"/>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745" t="e">
        <f>Daten!E530*-1</f>
        <v>#N/A</v>
      </c>
      <c r="AT74" s="745"/>
      <c r="AU74" s="745"/>
      <c r="AV74" s="745"/>
      <c r="AW74" s="745"/>
      <c r="AX74" s="745"/>
      <c r="AY74" s="745"/>
      <c r="BA74" s="438" t="s">
        <v>371</v>
      </c>
      <c r="BB74" s="529"/>
      <c r="BC74" s="529"/>
      <c r="BD74" s="529"/>
      <c r="BE74" s="529"/>
      <c r="BF74" s="529"/>
      <c r="BG74" s="529"/>
      <c r="BH74" s="529"/>
      <c r="BI74" s="424"/>
      <c r="BK74" s="194"/>
      <c r="BL74" s="194"/>
      <c r="BM74" s="194"/>
      <c r="BN74" s="194"/>
      <c r="BO74" s="194"/>
      <c r="BP74" s="194"/>
      <c r="BQ74" s="194"/>
      <c r="BR74" s="194"/>
      <c r="BS74" s="194"/>
      <c r="BT74" s="194"/>
      <c r="BU74" s="194"/>
      <c r="BV74" s="194"/>
      <c r="BW74" s="194"/>
      <c r="BX74" s="194"/>
      <c r="BY74" s="194"/>
      <c r="BZ74" s="194"/>
      <c r="CA74" s="194"/>
      <c r="CB74" s="194"/>
    </row>
    <row r="75" spans="1:80" s="365" customFormat="1" ht="8.1" customHeight="1" x14ac:dyDescent="0.2">
      <c r="A75" s="194"/>
      <c r="B75" s="195"/>
      <c r="C75" s="195"/>
      <c r="D75" s="195"/>
      <c r="E75" s="195"/>
      <c r="F75" s="195"/>
      <c r="G75" s="195"/>
      <c r="H75" s="195"/>
      <c r="I75" s="195"/>
      <c r="J75" s="195"/>
      <c r="K75" s="195"/>
      <c r="L75" s="195"/>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4"/>
      <c r="AZ75" s="194"/>
      <c r="BA75" s="194"/>
      <c r="BB75" s="194"/>
      <c r="BC75" s="194"/>
      <c r="BD75" s="194"/>
      <c r="BE75" s="194"/>
      <c r="BF75" s="194"/>
      <c r="BG75" s="424"/>
      <c r="BH75" s="424"/>
      <c r="BI75" s="424"/>
      <c r="BJ75" s="424"/>
      <c r="BK75" s="194"/>
      <c r="BL75" s="194"/>
      <c r="BM75" s="194"/>
      <c r="BN75" s="194"/>
      <c r="BO75" s="194"/>
      <c r="BP75" s="194"/>
      <c r="BQ75" s="194"/>
      <c r="BR75" s="194"/>
      <c r="BS75" s="194"/>
      <c r="BT75" s="194"/>
      <c r="BU75" s="194"/>
      <c r="BV75" s="194"/>
      <c r="BW75" s="194"/>
      <c r="BX75" s="194"/>
      <c r="BY75" s="194"/>
      <c r="BZ75" s="194"/>
      <c r="CA75" s="194"/>
      <c r="CB75" s="194"/>
    </row>
    <row r="76" spans="1:80" s="365" customFormat="1" ht="5.25" customHeight="1" x14ac:dyDescent="0.2">
      <c r="A76" s="194"/>
      <c r="B76" s="459"/>
      <c r="C76" s="460"/>
      <c r="D76" s="460"/>
      <c r="E76" s="460"/>
      <c r="F76" s="460"/>
      <c r="G76" s="460"/>
      <c r="H76" s="460"/>
      <c r="I76" s="460"/>
      <c r="J76" s="460"/>
      <c r="K76" s="460"/>
      <c r="L76" s="460"/>
      <c r="M76" s="461"/>
      <c r="N76" s="461"/>
      <c r="O76" s="461"/>
      <c r="P76" s="461"/>
      <c r="Q76" s="461"/>
      <c r="R76" s="461"/>
      <c r="S76" s="461"/>
      <c r="T76" s="461"/>
      <c r="U76" s="461"/>
      <c r="V76" s="461"/>
      <c r="W76" s="461"/>
      <c r="X76" s="461"/>
      <c r="Y76" s="461"/>
      <c r="Z76" s="461"/>
      <c r="AA76" s="461"/>
      <c r="AB76" s="461"/>
      <c r="AC76" s="461"/>
      <c r="AD76" s="461"/>
      <c r="AE76" s="461"/>
      <c r="AF76" s="461"/>
      <c r="AG76" s="461"/>
      <c r="AH76" s="461"/>
      <c r="AI76" s="461"/>
      <c r="AJ76" s="461"/>
      <c r="AK76" s="461"/>
      <c r="AL76" s="461"/>
      <c r="AM76" s="461"/>
      <c r="AN76" s="461"/>
      <c r="AO76" s="461"/>
      <c r="AP76" s="461"/>
      <c r="AQ76" s="461"/>
      <c r="AR76" s="461"/>
      <c r="AS76" s="461"/>
      <c r="AT76" s="461"/>
      <c r="AU76" s="461"/>
      <c r="AV76" s="461"/>
      <c r="AW76" s="461"/>
      <c r="AX76" s="461"/>
      <c r="AY76" s="461"/>
      <c r="AZ76" s="461"/>
      <c r="BA76" s="461"/>
      <c r="BB76" s="461"/>
      <c r="BC76" s="461"/>
      <c r="BD76" s="461"/>
      <c r="BE76" s="461"/>
      <c r="BF76" s="461"/>
      <c r="BG76" s="514"/>
      <c r="BH76" s="514"/>
      <c r="BI76" s="514"/>
      <c r="BJ76" s="514"/>
      <c r="BK76" s="461"/>
      <c r="BL76" s="461"/>
      <c r="BM76" s="461"/>
      <c r="BN76" s="461"/>
      <c r="BO76" s="461"/>
      <c r="BP76" s="461"/>
      <c r="BQ76" s="461"/>
      <c r="BR76" s="461"/>
      <c r="BS76" s="461"/>
      <c r="BT76" s="461"/>
      <c r="BU76" s="461"/>
      <c r="BV76" s="461"/>
      <c r="BW76" s="461"/>
      <c r="BX76" s="461"/>
      <c r="BY76" s="512"/>
      <c r="BZ76" s="194"/>
      <c r="CA76" s="194"/>
      <c r="CB76" s="194"/>
    </row>
    <row r="77" spans="1:80" s="365" customFormat="1" ht="11.25" x14ac:dyDescent="0.2">
      <c r="A77" s="194"/>
      <c r="B77" s="463"/>
      <c r="C77" s="747" t="e">
        <f>IF(Daten!E528=0,"x","")</f>
        <v>#N/A</v>
      </c>
      <c r="D77" s="748"/>
      <c r="E77" s="749"/>
      <c r="F77" s="468"/>
      <c r="G77" s="726" t="s">
        <v>1405</v>
      </c>
      <c r="H77" s="726"/>
      <c r="I77" s="726"/>
      <c r="J77" s="726"/>
      <c r="K77" s="726"/>
      <c r="L77" s="726"/>
      <c r="M77" s="726"/>
      <c r="N77" s="726"/>
      <c r="O77" s="726"/>
      <c r="P77" s="726"/>
      <c r="Q77" s="726"/>
      <c r="R77" s="726"/>
      <c r="S77" s="726"/>
      <c r="T77" s="726"/>
      <c r="U77" s="726"/>
      <c r="V77" s="726"/>
      <c r="W77" s="726"/>
      <c r="X77" s="726"/>
      <c r="Y77" s="726"/>
      <c r="Z77" s="726"/>
      <c r="AA77" s="726"/>
      <c r="AB77" s="726"/>
      <c r="AC77" s="726"/>
      <c r="AD77" s="726"/>
      <c r="AE77" s="726"/>
      <c r="AF77" s="726"/>
      <c r="AG77" s="726"/>
      <c r="AH77" s="726"/>
      <c r="AI77" s="726"/>
      <c r="AJ77" s="726"/>
      <c r="AK77" s="726"/>
      <c r="AL77" s="726"/>
      <c r="AM77" s="726"/>
      <c r="AN77" s="726"/>
      <c r="AO77" s="726"/>
      <c r="AP77" s="726"/>
      <c r="AQ77" s="726"/>
      <c r="AR77" s="726"/>
      <c r="AS77" s="726"/>
      <c r="AT77" s="726"/>
      <c r="AU77" s="726"/>
      <c r="AV77" s="726"/>
      <c r="AW77" s="726"/>
      <c r="AX77" s="726"/>
      <c r="AY77" s="726"/>
      <c r="AZ77" s="726"/>
      <c r="BA77" s="726"/>
      <c r="BB77" s="726"/>
      <c r="BC77" s="726"/>
      <c r="BD77" s="726"/>
      <c r="BE77" s="726"/>
      <c r="BF77" s="726"/>
      <c r="BG77" s="726"/>
      <c r="BH77" s="726"/>
      <c r="BI77" s="726"/>
      <c r="BJ77" s="726"/>
      <c r="BK77" s="726"/>
      <c r="BL77" s="726"/>
      <c r="BM77" s="726"/>
      <c r="BN77" s="726"/>
      <c r="BO77" s="726"/>
      <c r="BP77" s="726"/>
      <c r="BQ77" s="726"/>
      <c r="BR77" s="726"/>
      <c r="BS77" s="726"/>
      <c r="BT77" s="726"/>
      <c r="BU77" s="726"/>
      <c r="BV77" s="726"/>
      <c r="BW77" s="726"/>
      <c r="BX77" s="726"/>
      <c r="BY77" s="493"/>
      <c r="BZ77" s="194"/>
      <c r="CA77" s="194"/>
      <c r="CB77" s="194"/>
    </row>
    <row r="78" spans="1:80" s="365" customFormat="1" ht="11.25" x14ac:dyDescent="0.2">
      <c r="A78" s="194"/>
      <c r="B78" s="469"/>
      <c r="C78" s="468"/>
      <c r="D78" s="468"/>
      <c r="E78" s="468"/>
      <c r="F78" s="468"/>
      <c r="G78" s="726"/>
      <c r="H78" s="726"/>
      <c r="I78" s="726"/>
      <c r="J78" s="726"/>
      <c r="K78" s="726"/>
      <c r="L78" s="726"/>
      <c r="M78" s="726"/>
      <c r="N78" s="726"/>
      <c r="O78" s="726"/>
      <c r="P78" s="726"/>
      <c r="Q78" s="726"/>
      <c r="R78" s="726"/>
      <c r="S78" s="726"/>
      <c r="T78" s="726"/>
      <c r="U78" s="726"/>
      <c r="V78" s="726"/>
      <c r="W78" s="726"/>
      <c r="X78" s="726"/>
      <c r="Y78" s="726"/>
      <c r="Z78" s="726"/>
      <c r="AA78" s="726"/>
      <c r="AB78" s="726"/>
      <c r="AC78" s="726"/>
      <c r="AD78" s="726"/>
      <c r="AE78" s="726"/>
      <c r="AF78" s="726"/>
      <c r="AG78" s="726"/>
      <c r="AH78" s="726"/>
      <c r="AI78" s="726"/>
      <c r="AJ78" s="726"/>
      <c r="AK78" s="726"/>
      <c r="AL78" s="726"/>
      <c r="AM78" s="726"/>
      <c r="AN78" s="726"/>
      <c r="AO78" s="726"/>
      <c r="AP78" s="726"/>
      <c r="AQ78" s="726"/>
      <c r="AR78" s="726"/>
      <c r="AS78" s="726"/>
      <c r="AT78" s="726"/>
      <c r="AU78" s="726"/>
      <c r="AV78" s="726"/>
      <c r="AW78" s="726"/>
      <c r="AX78" s="726"/>
      <c r="AY78" s="726"/>
      <c r="AZ78" s="726"/>
      <c r="BA78" s="726"/>
      <c r="BB78" s="726"/>
      <c r="BC78" s="726"/>
      <c r="BD78" s="726"/>
      <c r="BE78" s="726"/>
      <c r="BF78" s="726"/>
      <c r="BG78" s="726"/>
      <c r="BH78" s="726"/>
      <c r="BI78" s="726"/>
      <c r="BJ78" s="726"/>
      <c r="BK78" s="726"/>
      <c r="BL78" s="726"/>
      <c r="BM78" s="726"/>
      <c r="BN78" s="726"/>
      <c r="BO78" s="726"/>
      <c r="BP78" s="726"/>
      <c r="BQ78" s="726"/>
      <c r="BR78" s="726"/>
      <c r="BS78" s="726"/>
      <c r="BT78" s="726"/>
      <c r="BU78" s="726"/>
      <c r="BV78" s="726"/>
      <c r="BW78" s="726"/>
      <c r="BX78" s="726"/>
      <c r="BY78" s="493"/>
      <c r="BZ78" s="194"/>
      <c r="CA78" s="194"/>
      <c r="CB78" s="194"/>
    </row>
    <row r="79" spans="1:80" s="365" customFormat="1" ht="11.25" x14ac:dyDescent="0.2">
      <c r="A79" s="194"/>
      <c r="B79" s="469"/>
      <c r="C79" s="468"/>
      <c r="D79" s="468"/>
      <c r="E79" s="468"/>
      <c r="F79" s="468"/>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726"/>
      <c r="AK79" s="726"/>
      <c r="AL79" s="726"/>
      <c r="AM79" s="726"/>
      <c r="AN79" s="726"/>
      <c r="AO79" s="726"/>
      <c r="AP79" s="726"/>
      <c r="AQ79" s="726"/>
      <c r="AR79" s="726"/>
      <c r="AS79" s="726"/>
      <c r="AT79" s="726"/>
      <c r="AU79" s="726"/>
      <c r="AV79" s="726"/>
      <c r="AW79" s="726"/>
      <c r="AX79" s="726"/>
      <c r="AY79" s="726"/>
      <c r="AZ79" s="726"/>
      <c r="BA79" s="726"/>
      <c r="BB79" s="726"/>
      <c r="BC79" s="726"/>
      <c r="BD79" s="726"/>
      <c r="BE79" s="726"/>
      <c r="BF79" s="726"/>
      <c r="BG79" s="726"/>
      <c r="BH79" s="726"/>
      <c r="BI79" s="726"/>
      <c r="BJ79" s="726"/>
      <c r="BK79" s="726"/>
      <c r="BL79" s="726"/>
      <c r="BM79" s="726"/>
      <c r="BN79" s="726"/>
      <c r="BO79" s="726"/>
      <c r="BP79" s="726"/>
      <c r="BQ79" s="726"/>
      <c r="BR79" s="726"/>
      <c r="BS79" s="726"/>
      <c r="BT79" s="726"/>
      <c r="BU79" s="726"/>
      <c r="BV79" s="726"/>
      <c r="BW79" s="726"/>
      <c r="BX79" s="726"/>
      <c r="BY79" s="493"/>
      <c r="BZ79" s="194"/>
      <c r="CA79" s="194"/>
      <c r="CB79" s="194"/>
    </row>
    <row r="80" spans="1:80" s="365" customFormat="1" ht="11.25" x14ac:dyDescent="0.2">
      <c r="A80" s="194"/>
      <c r="B80" s="469"/>
      <c r="C80" s="468"/>
      <c r="D80" s="468"/>
      <c r="E80" s="468"/>
      <c r="F80" s="468"/>
      <c r="G80" s="468"/>
      <c r="H80" s="468"/>
      <c r="I80" s="468"/>
      <c r="J80" s="468"/>
      <c r="K80" s="468"/>
      <c r="L80" s="468"/>
      <c r="M80" s="468"/>
      <c r="N80" s="468"/>
      <c r="O80" s="468"/>
      <c r="P80" s="468"/>
      <c r="Q80" s="468"/>
      <c r="R80" s="516"/>
      <c r="S80" s="515"/>
      <c r="T80" s="515"/>
      <c r="U80" s="515"/>
      <c r="V80" s="515"/>
      <c r="W80" s="515"/>
      <c r="X80" s="515"/>
      <c r="Y80" s="515"/>
      <c r="Z80" s="515"/>
      <c r="AA80" s="515"/>
      <c r="AB80" s="515"/>
      <c r="AC80" s="468"/>
      <c r="AD80" s="468"/>
      <c r="AE80" s="468"/>
      <c r="AF80" s="468"/>
      <c r="AG80" s="468"/>
      <c r="AH80" s="468"/>
      <c r="AI80" s="468"/>
      <c r="AJ80" s="468"/>
      <c r="AK80" s="468"/>
      <c r="AL80" s="468"/>
      <c r="AM80" s="468"/>
      <c r="AN80" s="468"/>
      <c r="AO80" s="468"/>
      <c r="AP80" s="468"/>
      <c r="AQ80" s="468"/>
      <c r="AR80" s="468"/>
      <c r="AS80" s="468"/>
      <c r="AT80" s="464"/>
      <c r="AU80" s="464"/>
      <c r="AV80" s="464"/>
      <c r="AW80" s="464"/>
      <c r="AX80" s="464"/>
      <c r="AY80" s="464"/>
      <c r="AZ80" s="464"/>
      <c r="BA80" s="464"/>
      <c r="BB80" s="464"/>
      <c r="BC80" s="464"/>
      <c r="BD80" s="464"/>
      <c r="BE80" s="464"/>
      <c r="BF80" s="464"/>
      <c r="BG80" s="515"/>
      <c r="BH80" s="515"/>
      <c r="BI80" s="515"/>
      <c r="BJ80" s="515"/>
      <c r="BK80" s="464"/>
      <c r="BL80" s="464"/>
      <c r="BM80" s="464"/>
      <c r="BN80" s="464"/>
      <c r="BO80" s="464"/>
      <c r="BP80" s="464"/>
      <c r="BQ80" s="464"/>
      <c r="BR80" s="464"/>
      <c r="BS80" s="464"/>
      <c r="BT80" s="464"/>
      <c r="BU80" s="464"/>
      <c r="BV80" s="464"/>
      <c r="BW80" s="464"/>
      <c r="BX80" s="464"/>
      <c r="BY80" s="493"/>
      <c r="BZ80" s="194"/>
      <c r="CA80" s="194"/>
      <c r="CB80" s="194"/>
    </row>
    <row r="81" spans="1:80" s="365" customFormat="1" ht="11.25" x14ac:dyDescent="0.2">
      <c r="A81" s="194"/>
      <c r="B81" s="469"/>
      <c r="C81" s="723" t="e">
        <f>IF(Daten!E528=1,"x","")</f>
        <v>#N/A</v>
      </c>
      <c r="D81" s="724"/>
      <c r="E81" s="725"/>
      <c r="F81" s="468"/>
      <c r="G81" s="726" t="s">
        <v>1169</v>
      </c>
      <c r="H81" s="726"/>
      <c r="I81" s="726"/>
      <c r="J81" s="726"/>
      <c r="K81" s="726"/>
      <c r="L81" s="726"/>
      <c r="M81" s="726"/>
      <c r="N81" s="726"/>
      <c r="O81" s="726"/>
      <c r="P81" s="726"/>
      <c r="Q81" s="726"/>
      <c r="R81" s="726"/>
      <c r="S81" s="726"/>
      <c r="T81" s="726"/>
      <c r="U81" s="726"/>
      <c r="V81" s="726"/>
      <c r="W81" s="726"/>
      <c r="X81" s="726"/>
      <c r="Y81" s="726"/>
      <c r="Z81" s="726"/>
      <c r="AA81" s="726"/>
      <c r="AB81" s="726"/>
      <c r="AC81" s="726"/>
      <c r="AD81" s="726"/>
      <c r="AE81" s="726"/>
      <c r="AF81" s="726"/>
      <c r="AG81" s="726"/>
      <c r="AH81" s="726"/>
      <c r="AI81" s="726"/>
      <c r="AJ81" s="726"/>
      <c r="AK81" s="726"/>
      <c r="AL81" s="726"/>
      <c r="AM81" s="726"/>
      <c r="AN81" s="726"/>
      <c r="AO81" s="726"/>
      <c r="AP81" s="726"/>
      <c r="AQ81" s="726"/>
      <c r="AR81" s="726"/>
      <c r="AS81" s="726"/>
      <c r="AT81" s="726"/>
      <c r="AU81" s="726"/>
      <c r="AV81" s="726"/>
      <c r="AW81" s="726"/>
      <c r="AX81" s="726"/>
      <c r="AY81" s="726"/>
      <c r="AZ81" s="726"/>
      <c r="BA81" s="726"/>
      <c r="BB81" s="726"/>
      <c r="BC81" s="726"/>
      <c r="BD81" s="726"/>
      <c r="BE81" s="726"/>
      <c r="BF81" s="726"/>
      <c r="BG81" s="726"/>
      <c r="BH81" s="726"/>
      <c r="BI81" s="726"/>
      <c r="BJ81" s="726"/>
      <c r="BK81" s="726"/>
      <c r="BL81" s="726"/>
      <c r="BM81" s="726"/>
      <c r="BN81" s="726"/>
      <c r="BO81" s="726"/>
      <c r="BP81" s="726"/>
      <c r="BQ81" s="726"/>
      <c r="BR81" s="726"/>
      <c r="BS81" s="726"/>
      <c r="BT81" s="726"/>
      <c r="BU81" s="726"/>
      <c r="BV81" s="726"/>
      <c r="BW81" s="726"/>
      <c r="BX81" s="726"/>
      <c r="BY81" s="493"/>
      <c r="BZ81" s="194"/>
      <c r="CA81" s="194"/>
      <c r="CB81" s="194"/>
    </row>
    <row r="82" spans="1:80" s="365" customFormat="1" ht="11.25" x14ac:dyDescent="0.2">
      <c r="A82" s="194"/>
      <c r="B82" s="469"/>
      <c r="C82" s="468"/>
      <c r="D82" s="468"/>
      <c r="E82" s="468"/>
      <c r="F82" s="468"/>
      <c r="G82" s="726"/>
      <c r="H82" s="726"/>
      <c r="I82" s="726"/>
      <c r="J82" s="726"/>
      <c r="K82" s="726"/>
      <c r="L82" s="726"/>
      <c r="M82" s="726"/>
      <c r="N82" s="726"/>
      <c r="O82" s="726"/>
      <c r="P82" s="726"/>
      <c r="Q82" s="726"/>
      <c r="R82" s="726"/>
      <c r="S82" s="726"/>
      <c r="T82" s="726"/>
      <c r="U82" s="726"/>
      <c r="V82" s="726"/>
      <c r="W82" s="726"/>
      <c r="X82" s="726"/>
      <c r="Y82" s="726"/>
      <c r="Z82" s="726"/>
      <c r="AA82" s="726"/>
      <c r="AB82" s="726"/>
      <c r="AC82" s="726"/>
      <c r="AD82" s="726"/>
      <c r="AE82" s="726"/>
      <c r="AF82" s="726"/>
      <c r="AG82" s="726"/>
      <c r="AH82" s="726"/>
      <c r="AI82" s="726"/>
      <c r="AJ82" s="726"/>
      <c r="AK82" s="726"/>
      <c r="AL82" s="726"/>
      <c r="AM82" s="726"/>
      <c r="AN82" s="726"/>
      <c r="AO82" s="726"/>
      <c r="AP82" s="726"/>
      <c r="AQ82" s="726"/>
      <c r="AR82" s="726"/>
      <c r="AS82" s="726"/>
      <c r="AT82" s="726"/>
      <c r="AU82" s="726"/>
      <c r="AV82" s="726"/>
      <c r="AW82" s="726"/>
      <c r="AX82" s="726"/>
      <c r="AY82" s="726"/>
      <c r="AZ82" s="726"/>
      <c r="BA82" s="726"/>
      <c r="BB82" s="726"/>
      <c r="BC82" s="726"/>
      <c r="BD82" s="726"/>
      <c r="BE82" s="726"/>
      <c r="BF82" s="726"/>
      <c r="BG82" s="726"/>
      <c r="BH82" s="726"/>
      <c r="BI82" s="726"/>
      <c r="BJ82" s="726"/>
      <c r="BK82" s="726"/>
      <c r="BL82" s="726"/>
      <c r="BM82" s="726"/>
      <c r="BN82" s="726"/>
      <c r="BO82" s="726"/>
      <c r="BP82" s="726"/>
      <c r="BQ82" s="726"/>
      <c r="BR82" s="726"/>
      <c r="BS82" s="726"/>
      <c r="BT82" s="726"/>
      <c r="BU82" s="726"/>
      <c r="BV82" s="726"/>
      <c r="BW82" s="726"/>
      <c r="BX82" s="726"/>
      <c r="BY82" s="493"/>
      <c r="BZ82" s="194"/>
      <c r="CA82" s="194"/>
      <c r="CB82" s="194"/>
    </row>
    <row r="83" spans="1:80" s="365" customFormat="1" ht="5.25" customHeight="1" x14ac:dyDescent="0.2">
      <c r="A83" s="194"/>
      <c r="B83" s="483"/>
      <c r="C83" s="484"/>
      <c r="D83" s="484"/>
      <c r="E83" s="484"/>
      <c r="F83" s="484"/>
      <c r="G83" s="517"/>
      <c r="H83" s="517"/>
      <c r="I83" s="517"/>
      <c r="J83" s="517"/>
      <c r="K83" s="517"/>
      <c r="L83" s="517"/>
      <c r="M83" s="517"/>
      <c r="N83" s="517"/>
      <c r="O83" s="517"/>
      <c r="P83" s="517"/>
      <c r="Q83" s="517"/>
      <c r="R83" s="517"/>
      <c r="S83" s="517"/>
      <c r="T83" s="517"/>
      <c r="U83" s="517"/>
      <c r="V83" s="517"/>
      <c r="W83" s="517"/>
      <c r="X83" s="517"/>
      <c r="Y83" s="517"/>
      <c r="Z83" s="517"/>
      <c r="AA83" s="517"/>
      <c r="AB83" s="517"/>
      <c r="AC83" s="517"/>
      <c r="AD83" s="517"/>
      <c r="AE83" s="517"/>
      <c r="AF83" s="517"/>
      <c r="AG83" s="517"/>
      <c r="AH83" s="517"/>
      <c r="AI83" s="517"/>
      <c r="AJ83" s="517"/>
      <c r="AK83" s="517"/>
      <c r="AL83" s="517"/>
      <c r="AM83" s="517"/>
      <c r="AN83" s="517"/>
      <c r="AO83" s="517"/>
      <c r="AP83" s="517"/>
      <c r="AQ83" s="517"/>
      <c r="AR83" s="517"/>
      <c r="AS83" s="517"/>
      <c r="AT83" s="517"/>
      <c r="AU83" s="517"/>
      <c r="AV83" s="517"/>
      <c r="AW83" s="517"/>
      <c r="AX83" s="517"/>
      <c r="AY83" s="517"/>
      <c r="AZ83" s="517"/>
      <c r="BA83" s="517"/>
      <c r="BB83" s="517"/>
      <c r="BC83" s="517"/>
      <c r="BD83" s="517"/>
      <c r="BE83" s="517"/>
      <c r="BF83" s="517"/>
      <c r="BG83" s="517"/>
      <c r="BH83" s="517"/>
      <c r="BI83" s="517"/>
      <c r="BJ83" s="517"/>
      <c r="BK83" s="517"/>
      <c r="BL83" s="517"/>
      <c r="BM83" s="517"/>
      <c r="BN83" s="517"/>
      <c r="BO83" s="517"/>
      <c r="BP83" s="517"/>
      <c r="BQ83" s="517"/>
      <c r="BR83" s="517"/>
      <c r="BS83" s="517"/>
      <c r="BT83" s="517"/>
      <c r="BU83" s="517"/>
      <c r="BV83" s="517"/>
      <c r="BW83" s="517"/>
      <c r="BX83" s="517"/>
      <c r="BY83" s="513"/>
      <c r="BZ83" s="194"/>
      <c r="CA83" s="194"/>
      <c r="CB83" s="194"/>
    </row>
    <row r="84" spans="1:80" ht="22.7" customHeight="1" x14ac:dyDescent="0.2">
      <c r="A84" s="184"/>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BD84" s="184"/>
      <c r="BE84" s="184"/>
      <c r="BF84" s="184"/>
      <c r="BG84" s="184"/>
      <c r="BH84" s="184"/>
      <c r="BI84" s="184"/>
      <c r="BJ84" s="184"/>
      <c r="BK84" s="184"/>
      <c r="BL84" s="184"/>
      <c r="BM84" s="184"/>
      <c r="BN84" s="184"/>
      <c r="BO84" s="184"/>
      <c r="BP84" s="184"/>
      <c r="BQ84" s="184"/>
      <c r="BR84" s="184"/>
      <c r="BS84" s="184"/>
      <c r="BT84" s="184"/>
      <c r="BU84" s="184"/>
      <c r="BV84" s="184"/>
      <c r="BW84" s="184"/>
      <c r="BX84" s="184"/>
      <c r="BY84" s="573" t="s">
        <v>1154</v>
      </c>
      <c r="BZ84" s="184"/>
      <c r="CA84" s="184"/>
      <c r="CB84" s="184"/>
    </row>
    <row r="85" spans="1:80" ht="25.9" customHeight="1" x14ac:dyDescent="0.2">
      <c r="A85" s="184"/>
      <c r="B85" s="518" t="e">
        <f>IF(Daten!E528=1,"Ermittlung der während der Karenzzeit zu Grunde zu legenden Wohnflächengrenze (tats. oder angem. Wohnfl.)","")</f>
        <v>#N/A</v>
      </c>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BD85" s="184"/>
      <c r="BE85" s="184"/>
      <c r="BF85" s="184"/>
      <c r="BG85" s="184"/>
      <c r="BH85" s="184"/>
      <c r="BI85" s="184"/>
      <c r="BJ85" s="184"/>
      <c r="BK85" s="184"/>
      <c r="BL85" s="184"/>
      <c r="BM85" s="184"/>
      <c r="BN85" s="184"/>
      <c r="BO85" s="184"/>
      <c r="BP85" s="184"/>
      <c r="BQ85" s="184"/>
      <c r="BR85" s="184"/>
      <c r="BS85" s="184"/>
      <c r="BT85" s="184"/>
      <c r="BU85" s="184"/>
      <c r="BV85" s="184"/>
      <c r="BW85" s="184"/>
      <c r="BX85" s="184"/>
      <c r="BZ85" s="184"/>
      <c r="CA85" s="184"/>
      <c r="CB85" s="184"/>
    </row>
    <row r="86" spans="1:80" ht="8.1" customHeight="1" x14ac:dyDescent="0.2">
      <c r="A86" s="184"/>
      <c r="B86" s="432"/>
      <c r="C86" s="432"/>
      <c r="D86" s="432"/>
      <c r="E86" s="432"/>
      <c r="F86" s="432"/>
      <c r="G86" s="432"/>
      <c r="H86" s="432"/>
      <c r="I86" s="432"/>
      <c r="J86" s="432"/>
      <c r="K86" s="432"/>
      <c r="L86" s="432"/>
      <c r="M86" s="432"/>
      <c r="N86" s="432"/>
      <c r="O86" s="432"/>
      <c r="P86" s="432"/>
      <c r="Q86" s="432"/>
      <c r="R86" s="432"/>
      <c r="S86" s="432"/>
      <c r="T86" s="432"/>
      <c r="U86" s="432"/>
      <c r="V86" s="432"/>
      <c r="W86" s="432"/>
      <c r="X86" s="432"/>
      <c r="Y86" s="432"/>
      <c r="Z86" s="432"/>
      <c r="AA86" s="432"/>
      <c r="AB86" s="432"/>
      <c r="AC86" s="432"/>
      <c r="AD86" s="432"/>
      <c r="AE86" s="432"/>
      <c r="AF86" s="432"/>
      <c r="AG86" s="432"/>
      <c r="AH86" s="432"/>
      <c r="AI86" s="432"/>
      <c r="AJ86" s="432"/>
      <c r="AK86" s="432"/>
      <c r="AL86" s="432"/>
      <c r="AM86" s="432"/>
      <c r="AN86" s="432"/>
      <c r="AO86" s="432"/>
      <c r="AP86" s="432"/>
      <c r="AQ86" s="432"/>
      <c r="AR86" s="432"/>
      <c r="AS86" s="432"/>
      <c r="AT86" s="194"/>
      <c r="AU86" s="194"/>
      <c r="AV86" s="194"/>
      <c r="AW86" s="194"/>
      <c r="AX86" s="194"/>
      <c r="AY86" s="194"/>
      <c r="AZ86" s="194"/>
      <c r="BA86" s="194"/>
      <c r="BB86" s="194"/>
      <c r="BC86" s="194"/>
      <c r="BD86" s="194"/>
      <c r="BE86" s="194"/>
      <c r="BF86" s="194"/>
      <c r="BG86" s="194"/>
      <c r="BH86" s="194"/>
      <c r="BI86" s="194"/>
      <c r="BJ86" s="194"/>
      <c r="BK86" s="194"/>
      <c r="BL86" s="194"/>
      <c r="BM86" s="194"/>
      <c r="BN86" s="194"/>
      <c r="BO86" s="194"/>
      <c r="BP86" s="194"/>
      <c r="BQ86" s="194"/>
      <c r="BR86" s="194"/>
      <c r="BS86" s="194"/>
      <c r="BT86" s="194"/>
      <c r="BU86" s="194"/>
      <c r="BV86" s="194"/>
      <c r="BW86" s="194"/>
      <c r="BX86" s="194"/>
      <c r="BY86" s="194"/>
      <c r="BZ86" s="184"/>
      <c r="CA86" s="184"/>
      <c r="CB86" s="184"/>
    </row>
    <row r="87" spans="1:80" s="369" customFormat="1" x14ac:dyDescent="0.2">
      <c r="B87" s="365" t="e">
        <f>IF(Daten!E528=1,Daten!A660&amp;" ("&amp;TEXT(Daten!D97,"0,00")&amp;" m²)","")</f>
        <v>#N/A</v>
      </c>
      <c r="C87" s="415"/>
      <c r="D87" s="511"/>
      <c r="E87" s="511"/>
      <c r="F87" s="415"/>
      <c r="G87" s="415"/>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32"/>
      <c r="AG87" s="415"/>
      <c r="AH87" s="415"/>
      <c r="AI87" s="415"/>
      <c r="AJ87" s="415"/>
      <c r="AK87" s="415"/>
      <c r="AL87" s="415"/>
      <c r="AM87" s="415"/>
      <c r="AN87" s="415"/>
      <c r="AO87" s="415"/>
      <c r="AP87" s="415"/>
      <c r="AQ87" s="365" t="e">
        <f>IF(Daten!E528=1,"=","")</f>
        <v>#N/A</v>
      </c>
      <c r="AR87" s="432"/>
      <c r="AS87" s="697" t="e">
        <f>IF(Daten!E528=1,Daten!P504,"")</f>
        <v>#N/A</v>
      </c>
      <c r="AT87" s="697"/>
      <c r="AU87" s="697"/>
      <c r="AV87" s="697"/>
      <c r="AW87" s="697"/>
      <c r="AX87" s="697"/>
      <c r="AY87" s="697"/>
      <c r="BA87" s="194" t="e">
        <f>IF(AND(Daten!E528=1,Daten!D86=12),"Euro",IF(AND(Daten!E528=1,Daten!D86&lt;&gt;12),"Euro (bez. auf "&amp;TEXT(Daten!D86,0)&amp;" Abschläge pro Jahr)",""))</f>
        <v>#N/A</v>
      </c>
      <c r="BB87" s="521"/>
      <c r="BC87" s="521"/>
      <c r="BD87" s="521"/>
      <c r="BE87" s="521"/>
      <c r="BF87" s="521"/>
      <c r="BG87" s="521"/>
      <c r="BH87" s="521"/>
      <c r="BI87" s="415"/>
      <c r="BK87" s="365"/>
      <c r="BL87" s="415"/>
      <c r="BM87" s="415"/>
      <c r="BN87" s="415"/>
      <c r="BO87" s="415"/>
      <c r="BP87" s="415"/>
      <c r="BQ87" s="415"/>
      <c r="BR87" s="415"/>
      <c r="BS87" s="415"/>
      <c r="BT87" s="415"/>
      <c r="BU87" s="415"/>
      <c r="BV87" s="415"/>
      <c r="BW87" s="415"/>
      <c r="BX87" s="415"/>
      <c r="BY87" s="432"/>
    </row>
    <row r="88" spans="1:80" s="369" customFormat="1" ht="5.0999999999999996" customHeight="1" x14ac:dyDescent="0.2">
      <c r="B88" s="415"/>
      <c r="C88" s="415"/>
      <c r="D88" s="511"/>
      <c r="E88" s="511"/>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32"/>
      <c r="AG88" s="415"/>
      <c r="AH88" s="415"/>
      <c r="AI88" s="415"/>
      <c r="AJ88" s="415"/>
      <c r="AK88" s="415"/>
      <c r="AL88" s="415"/>
      <c r="AM88" s="415"/>
      <c r="AN88" s="415"/>
      <c r="AO88" s="415"/>
      <c r="AP88" s="415"/>
      <c r="AQ88" s="415"/>
      <c r="AR88" s="432"/>
      <c r="AS88" s="415"/>
      <c r="AT88" s="432"/>
      <c r="AU88" s="415"/>
      <c r="AV88" s="415"/>
      <c r="AW88" s="415"/>
      <c r="AX88" s="415"/>
      <c r="AY88" s="415"/>
      <c r="AZ88" s="415"/>
      <c r="BA88" s="415"/>
      <c r="BB88" s="415"/>
      <c r="BC88" s="415"/>
      <c r="BD88" s="415"/>
      <c r="BE88" s="415"/>
      <c r="BF88" s="415"/>
      <c r="BG88" s="415"/>
      <c r="BH88" s="415"/>
      <c r="BI88" s="415"/>
      <c r="BJ88" s="415"/>
      <c r="BK88" s="505"/>
      <c r="BL88" s="505"/>
      <c r="BM88" s="505"/>
      <c r="BN88" s="505"/>
      <c r="BO88" s="505"/>
      <c r="BP88" s="505"/>
      <c r="BQ88" s="505"/>
      <c r="BR88" s="505"/>
      <c r="BS88" s="505"/>
      <c r="BT88" s="415"/>
      <c r="BU88" s="432"/>
      <c r="BV88" s="415"/>
      <c r="BW88" s="415"/>
      <c r="BX88" s="415"/>
      <c r="BY88" s="432"/>
    </row>
    <row r="89" spans="1:80" s="369" customFormat="1" ht="11.25" customHeight="1" x14ac:dyDescent="0.2">
      <c r="B89" s="365" t="e">
        <f>IF(Daten!E528=1,Daten!A662&amp;" ("&amp;TEXT(Daten!D135,"0,00")&amp;" m²)","")</f>
        <v>#N/A</v>
      </c>
      <c r="C89" s="415"/>
      <c r="D89" s="511"/>
      <c r="E89" s="511"/>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32"/>
      <c r="AG89" s="415"/>
      <c r="AH89" s="415"/>
      <c r="AI89" s="415"/>
      <c r="AJ89" s="415"/>
      <c r="AK89" s="415"/>
      <c r="AL89" s="415"/>
      <c r="AM89" s="415"/>
      <c r="AN89" s="415"/>
      <c r="AO89" s="415"/>
      <c r="AP89" s="415"/>
      <c r="AQ89" s="365" t="e">
        <f>IF(Daten!E528=1,"=","")</f>
        <v>#N/A</v>
      </c>
      <c r="AR89" s="432"/>
      <c r="AS89" s="697" t="e">
        <f>IF(Daten!E528=1,Daten!E515,"")</f>
        <v>#N/A</v>
      </c>
      <c r="AT89" s="697"/>
      <c r="AU89" s="697"/>
      <c r="AV89" s="697"/>
      <c r="AW89" s="697"/>
      <c r="AX89" s="697"/>
      <c r="AY89" s="697"/>
      <c r="BA89" s="194" t="e">
        <f>IF(AND(Daten!E528=1,Daten!D86=12),"Euro",IF(AND(Daten!E528=1,Daten!D86&lt;&gt;12),"Euro (bez. auf "&amp;TEXT(Daten!D86,0)&amp;" Abschläge pro Jahr)",""))</f>
        <v>#N/A</v>
      </c>
      <c r="BB89" s="521"/>
      <c r="BC89" s="521"/>
      <c r="BD89" s="521"/>
      <c r="BE89" s="521"/>
      <c r="BF89" s="521"/>
      <c r="BG89" s="521"/>
      <c r="BH89" s="521"/>
      <c r="BI89" s="415"/>
      <c r="BK89" s="415"/>
      <c r="BL89" s="415"/>
      <c r="BM89" s="415"/>
      <c r="BN89" s="415"/>
      <c r="BO89" s="415"/>
      <c r="BP89" s="415"/>
      <c r="BQ89" s="415"/>
      <c r="BR89" s="415"/>
      <c r="BS89" s="415"/>
      <c r="BT89" s="415"/>
      <c r="BU89" s="415"/>
      <c r="BV89" s="415"/>
      <c r="BW89" s="415"/>
      <c r="BX89" s="415"/>
      <c r="BY89" s="432"/>
    </row>
    <row r="90" spans="1:80" ht="8.1" customHeight="1" x14ac:dyDescent="0.2">
      <c r="B90" s="365"/>
      <c r="C90" s="365"/>
      <c r="D90" s="365"/>
      <c r="E90" s="365"/>
      <c r="F90" s="365"/>
      <c r="G90" s="365"/>
      <c r="H90" s="365"/>
      <c r="I90" s="365"/>
      <c r="J90" s="365"/>
      <c r="K90" s="365"/>
      <c r="L90" s="365"/>
      <c r="M90" s="365"/>
      <c r="N90" s="365"/>
      <c r="O90" s="365"/>
      <c r="P90" s="365"/>
      <c r="Q90" s="365"/>
      <c r="R90" s="365"/>
      <c r="S90" s="365"/>
      <c r="T90" s="365"/>
      <c r="U90" s="365"/>
      <c r="V90" s="365"/>
      <c r="W90" s="365"/>
      <c r="X90" s="365"/>
      <c r="Y90" s="365"/>
      <c r="Z90" s="365"/>
      <c r="AA90" s="365"/>
      <c r="AB90" s="365"/>
      <c r="AC90" s="365"/>
      <c r="AD90" s="365"/>
      <c r="AE90" s="365"/>
      <c r="AF90" s="194"/>
      <c r="AG90" s="194"/>
      <c r="AH90" s="365"/>
      <c r="AI90" s="365"/>
      <c r="AJ90" s="365"/>
      <c r="AK90" s="365"/>
      <c r="AL90" s="365"/>
      <c r="AM90" s="365"/>
      <c r="AN90" s="365"/>
      <c r="AO90" s="365"/>
      <c r="AP90" s="365"/>
      <c r="AQ90" s="194"/>
      <c r="AR90" s="194"/>
      <c r="AS90" s="194"/>
      <c r="AT90" s="194"/>
      <c r="AU90" s="194"/>
      <c r="AV90" s="194"/>
      <c r="AW90" s="194"/>
      <c r="AX90" s="194"/>
      <c r="AY90" s="194"/>
      <c r="AZ90" s="194"/>
      <c r="BA90" s="194"/>
      <c r="BB90" s="194"/>
      <c r="BC90" s="194"/>
      <c r="BD90" s="365"/>
      <c r="BE90" s="365"/>
      <c r="BF90" s="365"/>
      <c r="BG90" s="365"/>
      <c r="BH90" s="365"/>
      <c r="BI90" s="365"/>
      <c r="BJ90" s="365"/>
      <c r="BK90" s="365"/>
      <c r="BL90" s="365"/>
      <c r="BM90" s="365"/>
      <c r="BN90" s="365"/>
      <c r="BO90" s="365"/>
      <c r="BP90" s="365"/>
      <c r="BQ90" s="365"/>
      <c r="BR90" s="365"/>
      <c r="BS90" s="365"/>
      <c r="BT90" s="365"/>
      <c r="BU90" s="365"/>
      <c r="BV90" s="365"/>
      <c r="BW90" s="365"/>
      <c r="BX90" s="365"/>
      <c r="BY90" s="194"/>
    </row>
    <row r="91" spans="1:80" ht="5.25" customHeight="1" x14ac:dyDescent="0.2">
      <c r="B91" s="734"/>
      <c r="C91" s="734"/>
      <c r="D91" s="734"/>
      <c r="E91" s="734"/>
      <c r="F91" s="734"/>
      <c r="G91" s="734"/>
      <c r="H91" s="734"/>
      <c r="I91" s="734"/>
      <c r="J91" s="734"/>
      <c r="K91" s="734"/>
      <c r="L91" s="734"/>
      <c r="M91" s="734"/>
      <c r="N91" s="734"/>
      <c r="O91" s="734"/>
      <c r="P91" s="734"/>
      <c r="Q91" s="734"/>
      <c r="R91" s="734"/>
      <c r="S91" s="734"/>
      <c r="T91" s="734"/>
      <c r="U91" s="734"/>
      <c r="V91" s="734"/>
      <c r="W91" s="734"/>
      <c r="X91" s="734"/>
      <c r="Y91" s="734"/>
      <c r="Z91" s="734"/>
      <c r="AA91" s="734"/>
      <c r="AB91" s="734"/>
      <c r="AC91" s="734"/>
      <c r="AD91" s="734"/>
      <c r="AE91" s="734"/>
      <c r="AF91" s="734"/>
      <c r="AG91" s="734"/>
      <c r="AH91" s="734"/>
      <c r="AI91" s="734"/>
      <c r="AJ91" s="734"/>
      <c r="AK91" s="734"/>
      <c r="AL91" s="734"/>
      <c r="AM91" s="734"/>
      <c r="AN91" s="734"/>
      <c r="AO91" s="734"/>
      <c r="AP91" s="734"/>
      <c r="AQ91" s="734"/>
      <c r="AR91" s="734"/>
      <c r="AS91" s="734"/>
      <c r="AT91" s="734"/>
      <c r="AU91" s="734"/>
      <c r="AV91" s="734"/>
      <c r="AW91" s="734"/>
      <c r="AX91" s="734"/>
      <c r="AY91" s="734"/>
      <c r="AZ91" s="734"/>
      <c r="BA91" s="734"/>
      <c r="BB91" s="734"/>
      <c r="BC91" s="734"/>
      <c r="BD91" s="734"/>
      <c r="BE91" s="734"/>
      <c r="BF91" s="734"/>
      <c r="BG91" s="734"/>
      <c r="BH91" s="734"/>
      <c r="BI91" s="734"/>
      <c r="BJ91" s="734"/>
      <c r="BK91" s="734"/>
      <c r="BL91" s="734"/>
      <c r="BM91" s="734"/>
      <c r="BN91" s="734"/>
      <c r="BO91" s="734"/>
      <c r="BP91" s="734"/>
      <c r="BQ91" s="734"/>
      <c r="BR91" s="734"/>
      <c r="BS91" s="734"/>
      <c r="BT91" s="734"/>
      <c r="BU91" s="734"/>
      <c r="BV91" s="734"/>
      <c r="BW91" s="734"/>
      <c r="BX91" s="734"/>
      <c r="BY91" s="734"/>
    </row>
    <row r="92" spans="1:80" ht="12.2" customHeight="1" x14ac:dyDescent="0.2">
      <c r="B92" s="734"/>
      <c r="C92" s="735" t="e">
        <f>IF(Daten!E528=1,IF(Daten!P508=0,"x",""),"")</f>
        <v>#N/A</v>
      </c>
      <c r="D92" s="735"/>
      <c r="E92" s="735"/>
      <c r="F92" s="194"/>
      <c r="G92" s="733" t="e">
        <f>IF(Daten!E528=1,"Während der Karenzzeit werden die nach der tatsächlichen Wohnfläche angemessenen Kosten berücksichtigt","")</f>
        <v>#N/A</v>
      </c>
      <c r="H92" s="733"/>
      <c r="I92" s="733"/>
      <c r="J92" s="733"/>
      <c r="K92" s="733"/>
      <c r="L92" s="733"/>
      <c r="M92" s="733"/>
      <c r="N92" s="733"/>
      <c r="O92" s="733"/>
      <c r="P92" s="733"/>
      <c r="Q92" s="733"/>
      <c r="R92" s="733"/>
      <c r="S92" s="733"/>
      <c r="T92" s="733"/>
      <c r="U92" s="733"/>
      <c r="V92" s="733"/>
      <c r="W92" s="733"/>
      <c r="X92" s="733"/>
      <c r="Y92" s="733"/>
      <c r="Z92" s="733"/>
      <c r="AA92" s="733"/>
      <c r="AB92" s="733"/>
      <c r="AC92" s="733"/>
      <c r="AD92" s="733"/>
      <c r="AE92" s="733"/>
      <c r="AF92" s="733"/>
      <c r="AG92" s="733"/>
      <c r="AH92" s="733"/>
      <c r="AI92" s="733"/>
      <c r="AJ92" s="733"/>
      <c r="AK92" s="733"/>
      <c r="AL92" s="733"/>
      <c r="AM92" s="733"/>
      <c r="AN92" s="733"/>
      <c r="AO92" s="733"/>
      <c r="AP92" s="733"/>
      <c r="AQ92" s="733"/>
      <c r="AR92" s="733"/>
      <c r="AS92" s="733"/>
      <c r="AT92" s="733"/>
      <c r="AU92" s="733"/>
      <c r="AV92" s="733"/>
      <c r="AW92" s="733"/>
      <c r="AX92" s="733"/>
      <c r="AY92" s="733"/>
      <c r="AZ92" s="733"/>
      <c r="BA92" s="733"/>
      <c r="BB92" s="733"/>
      <c r="BC92" s="733"/>
      <c r="BD92" s="733"/>
      <c r="BE92" s="733"/>
      <c r="BF92" s="733"/>
      <c r="BG92" s="733"/>
      <c r="BH92" s="733"/>
      <c r="BI92" s="733"/>
      <c r="BJ92" s="733"/>
      <c r="BK92" s="733"/>
      <c r="BL92" s="733"/>
      <c r="BM92" s="733"/>
      <c r="BN92" s="733"/>
      <c r="BO92" s="733"/>
      <c r="BP92" s="733"/>
      <c r="BQ92" s="733"/>
      <c r="BR92" s="733"/>
      <c r="BS92" s="733"/>
      <c r="BT92" s="733"/>
      <c r="BU92" s="733"/>
      <c r="BV92" s="733"/>
      <c r="BW92" s="733"/>
      <c r="BX92" s="733"/>
      <c r="BY92" s="733"/>
    </row>
    <row r="93" spans="1:80" ht="12.2" customHeight="1" x14ac:dyDescent="0.2">
      <c r="B93" s="734"/>
      <c r="C93" s="734"/>
      <c r="D93" s="734"/>
      <c r="E93" s="734"/>
      <c r="F93" s="734"/>
      <c r="G93" s="746"/>
      <c r="H93" s="746"/>
      <c r="I93" s="746"/>
      <c r="J93" s="746"/>
      <c r="K93" s="746"/>
      <c r="L93" s="746"/>
      <c r="M93" s="746"/>
      <c r="N93" s="746"/>
      <c r="O93" s="746"/>
      <c r="P93" s="746"/>
      <c r="Q93" s="746"/>
      <c r="R93" s="746"/>
      <c r="S93" s="746"/>
      <c r="T93" s="746"/>
      <c r="U93" s="746"/>
      <c r="V93" s="746"/>
      <c r="W93" s="746"/>
      <c r="X93" s="746"/>
      <c r="Y93" s="746"/>
      <c r="Z93" s="746"/>
      <c r="AA93" s="746"/>
      <c r="AB93" s="746"/>
      <c r="AC93" s="746"/>
      <c r="AD93" s="746"/>
      <c r="AE93" s="746"/>
      <c r="AF93" s="746"/>
      <c r="AG93" s="746"/>
      <c r="AH93" s="746"/>
      <c r="AI93" s="746"/>
      <c r="AJ93" s="746"/>
      <c r="AK93" s="746"/>
      <c r="AL93" s="746"/>
      <c r="AM93" s="746"/>
      <c r="AN93" s="746"/>
      <c r="AO93" s="746"/>
      <c r="AP93" s="746"/>
      <c r="AQ93" s="746"/>
      <c r="AR93" s="746"/>
      <c r="AS93" s="746"/>
      <c r="AT93" s="746"/>
      <c r="AU93" s="746"/>
      <c r="AV93" s="746"/>
      <c r="AW93" s="746"/>
      <c r="AX93" s="746"/>
      <c r="AY93" s="746"/>
      <c r="AZ93" s="746"/>
      <c r="BA93" s="746"/>
      <c r="BB93" s="746"/>
      <c r="BC93" s="746"/>
      <c r="BD93" s="746"/>
      <c r="BE93" s="746"/>
      <c r="BF93" s="746"/>
      <c r="BG93" s="746"/>
      <c r="BH93" s="746"/>
      <c r="BI93" s="746"/>
      <c r="BJ93" s="746"/>
      <c r="BK93" s="746"/>
      <c r="BL93" s="746"/>
      <c r="BM93" s="746"/>
      <c r="BN93" s="746"/>
      <c r="BO93" s="746"/>
      <c r="BP93" s="746"/>
      <c r="BQ93" s="746"/>
      <c r="BR93" s="746"/>
      <c r="BS93" s="746"/>
      <c r="BT93" s="746"/>
      <c r="BU93" s="746"/>
      <c r="BV93" s="746"/>
      <c r="BW93" s="746"/>
      <c r="BX93" s="746"/>
      <c r="BY93" s="746"/>
    </row>
    <row r="94" spans="1:80" ht="12.2" customHeight="1" x14ac:dyDescent="0.2">
      <c r="B94" s="734"/>
      <c r="C94" s="735" t="e">
        <f>IF(Daten!E528=1,IF(Daten!P508=1,"x",""),"")</f>
        <v>#N/A</v>
      </c>
      <c r="D94" s="735"/>
      <c r="E94" s="735"/>
      <c r="F94" s="194"/>
      <c r="G94" s="733" t="e">
        <f>IF(Daten!E528=1,"Während der Karenzzeit werden die nach der angemessenen Wohnfläche angemessenen Kosten berücksichtigt","")</f>
        <v>#N/A</v>
      </c>
      <c r="H94" s="733"/>
      <c r="I94" s="733"/>
      <c r="J94" s="733"/>
      <c r="K94" s="733"/>
      <c r="L94" s="733"/>
      <c r="M94" s="733"/>
      <c r="N94" s="733"/>
      <c r="O94" s="733"/>
      <c r="P94" s="733"/>
      <c r="Q94" s="733"/>
      <c r="R94" s="733"/>
      <c r="S94" s="733"/>
      <c r="T94" s="733"/>
      <c r="U94" s="733"/>
      <c r="V94" s="733"/>
      <c r="W94" s="733"/>
      <c r="X94" s="733"/>
      <c r="Y94" s="733"/>
      <c r="Z94" s="733"/>
      <c r="AA94" s="733"/>
      <c r="AB94" s="733"/>
      <c r="AC94" s="733"/>
      <c r="AD94" s="733"/>
      <c r="AE94" s="733"/>
      <c r="AF94" s="733"/>
      <c r="AG94" s="733"/>
      <c r="AH94" s="733"/>
      <c r="AI94" s="733"/>
      <c r="AJ94" s="733"/>
      <c r="AK94" s="733"/>
      <c r="AL94" s="733"/>
      <c r="AM94" s="733"/>
      <c r="AN94" s="733"/>
      <c r="AO94" s="733"/>
      <c r="AP94" s="733"/>
      <c r="AQ94" s="733"/>
      <c r="AR94" s="733"/>
      <c r="AS94" s="733"/>
      <c r="AT94" s="733"/>
      <c r="AU94" s="733"/>
      <c r="AV94" s="733"/>
      <c r="AW94" s="733"/>
      <c r="AX94" s="733"/>
      <c r="AY94" s="733"/>
      <c r="AZ94" s="733"/>
      <c r="BA94" s="733"/>
      <c r="BB94" s="733"/>
      <c r="BC94" s="733"/>
      <c r="BD94" s="733"/>
      <c r="BE94" s="733"/>
      <c r="BF94" s="733"/>
      <c r="BG94" s="733"/>
      <c r="BH94" s="733"/>
      <c r="BI94" s="733"/>
      <c r="BJ94" s="733"/>
      <c r="BK94" s="733"/>
      <c r="BL94" s="733"/>
      <c r="BM94" s="733"/>
      <c r="BN94" s="733"/>
      <c r="BO94" s="733"/>
      <c r="BP94" s="733"/>
      <c r="BQ94" s="733"/>
      <c r="BR94" s="733"/>
      <c r="BS94" s="733"/>
      <c r="BT94" s="733"/>
      <c r="BU94" s="733"/>
      <c r="BV94" s="733"/>
      <c r="BW94" s="733"/>
      <c r="BX94" s="733"/>
      <c r="BY94" s="733"/>
    </row>
    <row r="95" spans="1:80" ht="5.25" customHeight="1" x14ac:dyDescent="0.2">
      <c r="B95" s="734"/>
      <c r="C95" s="734"/>
      <c r="D95" s="734"/>
      <c r="E95" s="734"/>
      <c r="F95" s="734"/>
      <c r="G95" s="734"/>
      <c r="H95" s="734"/>
      <c r="I95" s="734"/>
      <c r="J95" s="734"/>
      <c r="K95" s="734"/>
      <c r="L95" s="734"/>
      <c r="M95" s="734"/>
      <c r="N95" s="734"/>
      <c r="O95" s="734"/>
      <c r="P95" s="734"/>
      <c r="Q95" s="734"/>
      <c r="R95" s="734"/>
      <c r="S95" s="734"/>
      <c r="T95" s="734"/>
      <c r="U95" s="734"/>
      <c r="V95" s="734"/>
      <c r="W95" s="734"/>
      <c r="X95" s="734"/>
      <c r="Y95" s="734"/>
      <c r="Z95" s="734"/>
      <c r="AA95" s="734"/>
      <c r="AB95" s="734"/>
      <c r="AC95" s="734"/>
      <c r="AD95" s="734"/>
      <c r="AE95" s="734"/>
      <c r="AF95" s="734"/>
      <c r="AG95" s="734"/>
      <c r="AH95" s="734"/>
      <c r="AI95" s="734"/>
      <c r="AJ95" s="734"/>
      <c r="AK95" s="734"/>
      <c r="AL95" s="734"/>
      <c r="AM95" s="734"/>
      <c r="AN95" s="734"/>
      <c r="AO95" s="734"/>
      <c r="AP95" s="734"/>
      <c r="AQ95" s="734"/>
      <c r="AR95" s="734"/>
      <c r="AS95" s="734"/>
      <c r="AT95" s="734"/>
      <c r="AU95" s="734"/>
      <c r="AV95" s="734"/>
      <c r="AW95" s="734"/>
      <c r="AX95" s="734"/>
      <c r="AY95" s="734"/>
      <c r="AZ95" s="734"/>
      <c r="BA95" s="734"/>
      <c r="BB95" s="734"/>
      <c r="BC95" s="734"/>
      <c r="BD95" s="734"/>
      <c r="BE95" s="734"/>
      <c r="BF95" s="734"/>
      <c r="BG95" s="734"/>
      <c r="BH95" s="734"/>
      <c r="BI95" s="734"/>
      <c r="BJ95" s="734"/>
      <c r="BK95" s="734"/>
      <c r="BL95" s="734"/>
      <c r="BM95" s="734"/>
      <c r="BN95" s="734"/>
      <c r="BO95" s="734"/>
      <c r="BP95" s="734"/>
      <c r="BQ95" s="734"/>
      <c r="BR95" s="734"/>
      <c r="BS95" s="734"/>
      <c r="BT95" s="734"/>
      <c r="BU95" s="734"/>
      <c r="BV95" s="734"/>
      <c r="BW95" s="734"/>
      <c r="BX95" s="734"/>
      <c r="BY95" s="734"/>
    </row>
    <row r="96" spans="1:80" ht="5.0999999999999996" customHeight="1" x14ac:dyDescent="0.2">
      <c r="B96" s="365"/>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194"/>
      <c r="AG96" s="194"/>
      <c r="AH96" s="365"/>
      <c r="AI96" s="365"/>
      <c r="AJ96" s="365"/>
      <c r="AK96" s="365"/>
      <c r="AL96" s="365"/>
      <c r="AM96" s="365"/>
      <c r="AN96" s="365"/>
      <c r="AO96" s="365"/>
      <c r="AP96" s="365"/>
      <c r="AQ96" s="365"/>
      <c r="AR96" s="365"/>
      <c r="AS96" s="365"/>
      <c r="AT96" s="365"/>
      <c r="AU96" s="365"/>
      <c r="AV96" s="365"/>
      <c r="AW96" s="365"/>
      <c r="AX96" s="194"/>
      <c r="AY96" s="365"/>
      <c r="AZ96" s="194"/>
      <c r="BA96" s="194"/>
      <c r="BB96" s="194"/>
      <c r="BC96" s="194"/>
      <c r="BD96" s="365"/>
      <c r="BE96" s="365"/>
      <c r="BF96" s="365"/>
      <c r="BG96" s="365"/>
      <c r="BH96" s="365"/>
      <c r="BI96" s="365"/>
      <c r="BJ96" s="365"/>
      <c r="BK96" s="365"/>
      <c r="BL96" s="365"/>
      <c r="BM96" s="365"/>
      <c r="BN96" s="365"/>
      <c r="BO96" s="365"/>
      <c r="BP96" s="365"/>
      <c r="BQ96" s="365"/>
      <c r="BR96" s="365"/>
      <c r="BS96" s="365"/>
      <c r="BT96" s="365"/>
      <c r="BU96" s="194"/>
      <c r="BV96" s="194"/>
      <c r="BW96" s="194"/>
      <c r="BX96" s="194"/>
      <c r="BY96" s="194"/>
    </row>
    <row r="97" spans="2:77" ht="20.100000000000001" customHeight="1" x14ac:dyDescent="0.2">
      <c r="B97" s="366"/>
      <c r="C97" s="365"/>
      <c r="D97" s="365"/>
      <c r="E97" s="365"/>
      <c r="F97" s="365"/>
      <c r="G97" s="365"/>
      <c r="H97" s="365"/>
      <c r="I97" s="365"/>
      <c r="J97" s="365"/>
      <c r="K97" s="365"/>
      <c r="L97" s="365"/>
      <c r="M97" s="365"/>
      <c r="N97" s="365"/>
      <c r="O97" s="365"/>
      <c r="P97" s="365"/>
      <c r="Q97" s="365"/>
      <c r="R97" s="365"/>
      <c r="S97" s="365"/>
      <c r="T97" s="365"/>
      <c r="U97" s="365"/>
      <c r="V97" s="365"/>
      <c r="W97" s="365"/>
      <c r="X97" s="365"/>
      <c r="Y97" s="365"/>
      <c r="Z97" s="365"/>
      <c r="AA97" s="365"/>
      <c r="AB97" s="365"/>
      <c r="AC97" s="365"/>
      <c r="AD97" s="365"/>
      <c r="AE97" s="365"/>
      <c r="AF97" s="194"/>
      <c r="AG97" s="194"/>
      <c r="AH97" s="365"/>
      <c r="AI97" s="365"/>
      <c r="AJ97" s="365"/>
      <c r="AK97" s="365"/>
      <c r="AL97" s="365"/>
      <c r="AM97" s="365"/>
      <c r="AN97" s="365"/>
      <c r="AO97" s="365"/>
      <c r="AP97" s="365"/>
      <c r="AQ97" s="194"/>
      <c r="AR97" s="194"/>
      <c r="AS97" s="194"/>
      <c r="AT97" s="194"/>
      <c r="AU97" s="194"/>
      <c r="AV97" s="194"/>
      <c r="AW97" s="194"/>
      <c r="AX97" s="194"/>
      <c r="AY97" s="194"/>
      <c r="AZ97" s="194"/>
      <c r="BA97" s="194"/>
      <c r="BB97" s="194"/>
      <c r="BC97" s="194"/>
      <c r="BD97" s="365"/>
      <c r="BE97" s="365"/>
      <c r="BF97" s="365"/>
      <c r="BG97" s="365"/>
      <c r="BH97" s="365"/>
      <c r="BI97" s="365"/>
      <c r="BJ97" s="365"/>
      <c r="BK97" s="365"/>
      <c r="BL97" s="365"/>
      <c r="BM97" s="365"/>
      <c r="BN97" s="365"/>
      <c r="BO97" s="365"/>
      <c r="BP97" s="365"/>
      <c r="BQ97" s="365"/>
      <c r="BR97" s="365"/>
      <c r="BS97" s="365"/>
      <c r="BT97" s="365"/>
      <c r="BU97" s="365"/>
      <c r="BV97" s="365"/>
      <c r="BW97" s="365"/>
      <c r="BX97" s="365"/>
      <c r="BY97" s="504"/>
    </row>
    <row r="98" spans="2:77" ht="15.75" customHeight="1" x14ac:dyDescent="0.2">
      <c r="B98" s="510" t="e">
        <f>IF(Daten!E528=1,"Gegenüberstellung der tatsächlichen Aufwendungen mit der zu Grunde zu legenden Angemessenheitsgrenze","")</f>
        <v>#N/A</v>
      </c>
      <c r="C98" s="365"/>
      <c r="D98" s="365"/>
      <c r="E98" s="365"/>
      <c r="F98" s="365"/>
      <c r="G98" s="365"/>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194"/>
      <c r="AG98" s="194"/>
      <c r="AH98" s="365"/>
      <c r="AI98" s="365"/>
      <c r="AJ98" s="365"/>
      <c r="AK98" s="365"/>
      <c r="AL98" s="365"/>
      <c r="AM98" s="365"/>
      <c r="AN98" s="365"/>
      <c r="AO98" s="365"/>
      <c r="AP98" s="365"/>
      <c r="AQ98" s="194"/>
      <c r="AR98" s="194"/>
      <c r="AS98" s="194"/>
      <c r="AT98" s="194"/>
      <c r="AU98" s="194"/>
      <c r="AV98" s="194"/>
      <c r="AW98" s="194"/>
      <c r="AX98" s="194"/>
      <c r="AY98" s="194"/>
      <c r="AZ98" s="194"/>
      <c r="BA98" s="194"/>
      <c r="BB98" s="194"/>
      <c r="BC98" s="194"/>
      <c r="BD98" s="365"/>
      <c r="BE98" s="365"/>
      <c r="BF98" s="365"/>
      <c r="BG98" s="365"/>
      <c r="BH98" s="365"/>
      <c r="BI98" s="365"/>
      <c r="BJ98" s="365"/>
      <c r="BK98" s="365"/>
      <c r="BL98" s="365"/>
      <c r="BM98" s="365"/>
      <c r="BN98" s="365"/>
      <c r="BO98" s="365"/>
      <c r="BP98" s="365"/>
      <c r="BQ98" s="365"/>
      <c r="BR98" s="365"/>
      <c r="BS98" s="365"/>
      <c r="BT98" s="365"/>
      <c r="BU98" s="365"/>
      <c r="BV98" s="365"/>
      <c r="BW98" s="365"/>
      <c r="BX98" s="365"/>
      <c r="BY98" s="194"/>
    </row>
    <row r="99" spans="2:77" ht="8.1" customHeight="1" x14ac:dyDescent="0.2">
      <c r="B99" s="365"/>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5"/>
      <c r="AL99" s="365"/>
      <c r="AM99" s="365"/>
      <c r="AN99" s="365"/>
      <c r="AO99" s="365"/>
      <c r="AP99" s="365"/>
      <c r="AQ99" s="365"/>
      <c r="AR99" s="365"/>
      <c r="AS99" s="365"/>
      <c r="AT99" s="365"/>
      <c r="AU99" s="365"/>
      <c r="AV99" s="365"/>
      <c r="AW99" s="194"/>
      <c r="AX99" s="194"/>
      <c r="AY99" s="194"/>
      <c r="AZ99" s="365"/>
      <c r="BA99" s="365"/>
      <c r="BB99" s="365"/>
      <c r="BC99" s="365"/>
      <c r="BD99" s="365"/>
      <c r="BE99" s="365"/>
      <c r="BF99" s="365"/>
      <c r="BG99" s="365"/>
      <c r="BH99" s="365"/>
      <c r="BI99" s="365"/>
      <c r="BJ99" s="365"/>
      <c r="BK99" s="365"/>
      <c r="BL99" s="365"/>
      <c r="BM99" s="365"/>
      <c r="BN99" s="365"/>
      <c r="BO99" s="365"/>
      <c r="BP99" s="365"/>
      <c r="BQ99" s="365"/>
      <c r="BR99" s="365"/>
      <c r="BS99" s="365"/>
      <c r="BT99" s="365"/>
      <c r="BU99" s="365"/>
      <c r="BV99" s="365"/>
      <c r="BW99" s="365"/>
      <c r="BX99" s="365"/>
      <c r="BY99" s="194"/>
    </row>
    <row r="100" spans="2:77" x14ac:dyDescent="0.2">
      <c r="B100" s="365" t="e">
        <f>IF(Daten!E528=1,"Tatsächliche, monatliche Heizkosten der Bedarfsgemeinschaft","")</f>
        <v>#N/A</v>
      </c>
      <c r="C100" s="365"/>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5"/>
      <c r="AJ100" s="365"/>
      <c r="AK100" s="365"/>
      <c r="AL100" s="365"/>
      <c r="AM100" s="365"/>
      <c r="AN100" s="365"/>
      <c r="AO100" s="365"/>
      <c r="AP100" s="365"/>
      <c r="AQ100" s="365" t="e">
        <f>IF(Daten!E528=1,"=","")</f>
        <v>#N/A</v>
      </c>
      <c r="AR100" s="365"/>
      <c r="AS100" s="697" t="e">
        <f>IF(Daten!E528=1,Daten!E509,"")</f>
        <v>#N/A</v>
      </c>
      <c r="AT100" s="697"/>
      <c r="AU100" s="697"/>
      <c r="AV100" s="697"/>
      <c r="AW100" s="697"/>
      <c r="AX100" s="697"/>
      <c r="AY100" s="697"/>
      <c r="BA100" s="194" t="e">
        <f>IF(AND(Daten!E528=1,Daten!D86=12),"Euro",IF(AND(Daten!E528=1,Daten!D86&lt;&gt;12),"Euro ("&amp;TEXT(Daten!D86,0)&amp;" Abschläge pro Jahr)",""))</f>
        <v>#N/A</v>
      </c>
      <c r="BB100" s="521"/>
      <c r="BC100" s="521"/>
      <c r="BD100" s="521"/>
      <c r="BE100" s="521"/>
      <c r="BF100" s="521"/>
      <c r="BG100" s="521"/>
      <c r="BH100" s="521"/>
      <c r="BI100" s="365"/>
      <c r="BK100" s="365"/>
      <c r="BL100" s="365"/>
      <c r="BM100" s="365"/>
      <c r="BN100" s="365"/>
      <c r="BO100" s="365"/>
      <c r="BP100" s="365"/>
      <c r="BQ100" s="365"/>
      <c r="BR100" s="365"/>
      <c r="BS100" s="365"/>
      <c r="BT100" s="365"/>
      <c r="BU100" s="365"/>
      <c r="BV100" s="365"/>
      <c r="BW100" s="365"/>
      <c r="BX100" s="365"/>
      <c r="BY100" s="194"/>
    </row>
    <row r="101" spans="2:77" ht="9.75" customHeight="1" x14ac:dyDescent="0.2">
      <c r="B101" s="528" t="e">
        <f>IF(Daten!E528=1,IF(Daten!J362=1,Daten!G506&amp;""&amp;TEXT(Daten!E507,"0,00")&amp;" "&amp;Daten!G518&amp;" "&amp;TEXT(Daten!E508,"0,00")&amp;" "&amp;Daten!G519,""))</f>
        <v>#N/A</v>
      </c>
      <c r="C101" s="365"/>
      <c r="D101" s="365"/>
      <c r="E101" s="365"/>
      <c r="F101" s="365"/>
      <c r="G101" s="365"/>
      <c r="H101" s="365"/>
      <c r="I101" s="365"/>
      <c r="J101" s="365"/>
      <c r="K101" s="365"/>
      <c r="L101" s="365"/>
      <c r="M101" s="365"/>
      <c r="N101" s="365"/>
      <c r="O101" s="365"/>
      <c r="P101" s="365"/>
      <c r="Q101" s="365"/>
      <c r="R101" s="365"/>
      <c r="S101" s="365"/>
      <c r="T101" s="365"/>
      <c r="U101" s="365"/>
      <c r="V101" s="365"/>
      <c r="W101" s="365"/>
      <c r="X101" s="365"/>
      <c r="Y101" s="365"/>
      <c r="Z101" s="365"/>
      <c r="AA101" s="365"/>
      <c r="AB101" s="365"/>
      <c r="AC101" s="365"/>
      <c r="AD101" s="365"/>
      <c r="AE101" s="365"/>
      <c r="AF101" s="365"/>
      <c r="AG101" s="365"/>
      <c r="AH101" s="365"/>
      <c r="AI101" s="365"/>
      <c r="AJ101" s="365"/>
      <c r="AK101" s="365"/>
      <c r="AL101" s="365"/>
      <c r="AM101" s="365"/>
      <c r="AN101" s="365"/>
      <c r="AO101" s="365"/>
      <c r="AP101" s="365"/>
      <c r="AQ101" s="365"/>
      <c r="AR101" s="365"/>
      <c r="AS101" s="365"/>
      <c r="AT101" s="365"/>
      <c r="AU101" s="365"/>
      <c r="AV101" s="365"/>
      <c r="AW101" s="194"/>
      <c r="AX101" s="194"/>
      <c r="AY101" s="194"/>
      <c r="AZ101" s="194"/>
      <c r="BA101" s="194"/>
      <c r="BB101" s="194"/>
      <c r="BC101" s="194"/>
      <c r="BD101" s="365"/>
      <c r="BE101" s="365"/>
      <c r="BF101" s="365"/>
      <c r="BG101" s="365"/>
      <c r="BH101" s="365"/>
      <c r="BI101" s="365"/>
      <c r="BJ101" s="365"/>
      <c r="BK101" s="365"/>
      <c r="BL101" s="365"/>
      <c r="BM101" s="365"/>
      <c r="BN101" s="365"/>
      <c r="BO101" s="365"/>
      <c r="BP101" s="365"/>
      <c r="BQ101" s="365"/>
      <c r="BR101" s="365"/>
      <c r="BS101" s="365"/>
      <c r="BT101" s="365"/>
      <c r="BU101" s="365"/>
      <c r="BV101" s="365"/>
      <c r="BW101" s="365"/>
      <c r="BX101" s="365"/>
      <c r="BY101" s="194"/>
    </row>
    <row r="102" spans="2:77" ht="5.0999999999999996" customHeight="1" x14ac:dyDescent="0.2">
      <c r="C102" s="365"/>
      <c r="D102" s="365"/>
      <c r="E102" s="365"/>
      <c r="F102" s="365"/>
      <c r="G102" s="365"/>
      <c r="H102" s="365"/>
      <c r="I102" s="365"/>
      <c r="J102" s="365"/>
      <c r="K102" s="365"/>
      <c r="L102" s="365"/>
      <c r="M102" s="365"/>
      <c r="N102" s="365"/>
      <c r="O102" s="365"/>
      <c r="P102" s="365"/>
      <c r="Q102" s="365"/>
      <c r="R102" s="365"/>
      <c r="S102" s="365"/>
      <c r="T102" s="365"/>
      <c r="U102" s="365"/>
      <c r="V102" s="365"/>
      <c r="W102" s="365"/>
      <c r="X102" s="365"/>
      <c r="Y102" s="365"/>
      <c r="Z102" s="365"/>
      <c r="AA102" s="365"/>
      <c r="AB102" s="365"/>
      <c r="AC102" s="365"/>
      <c r="AD102" s="365"/>
      <c r="AE102" s="365"/>
      <c r="AF102" s="365"/>
      <c r="AG102" s="365"/>
      <c r="AH102" s="365"/>
      <c r="AI102" s="365"/>
      <c r="AJ102" s="365"/>
      <c r="AK102" s="365"/>
      <c r="AL102" s="365"/>
      <c r="AM102" s="365"/>
      <c r="AN102" s="365"/>
      <c r="AO102" s="365"/>
      <c r="AP102" s="365"/>
      <c r="AQ102" s="365"/>
      <c r="AR102" s="365"/>
      <c r="AS102" s="365"/>
      <c r="AT102" s="365"/>
      <c r="AU102" s="365"/>
      <c r="AV102" s="365"/>
      <c r="AW102" s="194"/>
      <c r="AX102" s="194"/>
      <c r="AY102" s="194"/>
      <c r="AZ102" s="194"/>
      <c r="BA102" s="194"/>
      <c r="BB102" s="194"/>
      <c r="BC102" s="194"/>
      <c r="BD102" s="365"/>
      <c r="BE102" s="365"/>
      <c r="BF102" s="365"/>
      <c r="BG102" s="365"/>
      <c r="BH102" s="365"/>
      <c r="BI102" s="365"/>
      <c r="BJ102" s="365"/>
      <c r="BK102" s="365"/>
      <c r="BL102" s="365"/>
      <c r="BM102" s="365"/>
      <c r="BN102" s="365"/>
      <c r="BO102" s="365"/>
      <c r="BP102" s="365"/>
      <c r="BQ102" s="365"/>
      <c r="BR102" s="365"/>
      <c r="BS102" s="365"/>
      <c r="BT102" s="365"/>
      <c r="BU102" s="365"/>
      <c r="BV102" s="365"/>
      <c r="BW102" s="365"/>
      <c r="BX102" s="365"/>
      <c r="BY102" s="194"/>
    </row>
    <row r="103" spans="2:77" ht="12.2" customHeight="1" x14ac:dyDescent="0.2">
      <c r="B103" s="365" t="e">
        <f>IF(Daten!E528=1,IF(Daten!P508=0,Daten!A660&amp;" ("&amp;TEXT(Daten!D97,"0,00")&amp;" m²)",Daten!A662&amp;" ("&amp;TEXT(Daten!D135,"0,00")&amp;" m²)"),"")</f>
        <v>#N/A</v>
      </c>
      <c r="C103" s="365"/>
      <c r="D103" s="365"/>
      <c r="E103" s="365"/>
      <c r="F103" s="365"/>
      <c r="G103" s="365"/>
      <c r="H103" s="365"/>
      <c r="I103" s="365"/>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194"/>
      <c r="AG103" s="194"/>
      <c r="AH103" s="365"/>
      <c r="AI103" s="365"/>
      <c r="AJ103" s="365"/>
      <c r="AK103" s="365"/>
      <c r="AL103" s="365"/>
      <c r="AM103" s="365"/>
      <c r="AN103" s="365"/>
      <c r="AO103" s="365"/>
      <c r="AP103" s="365"/>
      <c r="AQ103" s="194" t="e">
        <f>IF(Daten!E528=1,"=","")</f>
        <v>#N/A</v>
      </c>
      <c r="AR103" s="194"/>
      <c r="AS103" s="697" t="e">
        <f>IF(Daten!E528=1,IF(Daten!P508=1,Daten!P506,IF(Daten!P508=0,Daten!P504,"")),"")</f>
        <v>#N/A</v>
      </c>
      <c r="AT103" s="697"/>
      <c r="AU103" s="697"/>
      <c r="AV103" s="697"/>
      <c r="AW103" s="697"/>
      <c r="AX103" s="697"/>
      <c r="AY103" s="697"/>
      <c r="BA103" s="521" t="e">
        <f>IF(AND(Daten!E528=1,Daten!D86=12),"Euro",IF(AND(Daten!E528=1,Daten!D86&lt;&gt;12),"Euro (bez. auf "&amp;TEXT(Daten!D86,0)&amp;" Abschläge pro Jahr)",""))</f>
        <v>#N/A</v>
      </c>
      <c r="BB103" s="521"/>
      <c r="BC103" s="521"/>
      <c r="BD103" s="521"/>
      <c r="BE103" s="521"/>
      <c r="BF103" s="521"/>
      <c r="BG103" s="521"/>
      <c r="BH103" s="521"/>
      <c r="BI103" s="429"/>
      <c r="BJ103" s="194"/>
      <c r="BK103" s="365"/>
      <c r="BL103" s="365"/>
      <c r="BM103" s="365"/>
      <c r="BN103" s="365"/>
      <c r="BO103" s="365"/>
      <c r="BP103" s="365"/>
      <c r="BQ103" s="365"/>
      <c r="BR103" s="365"/>
      <c r="BS103" s="365"/>
      <c r="BT103" s="365"/>
      <c r="BU103" s="365"/>
      <c r="BV103" s="365"/>
      <c r="BW103" s="365"/>
      <c r="BX103" s="365"/>
      <c r="BY103" s="194"/>
    </row>
    <row r="104" spans="2:77" ht="8.1" customHeight="1" x14ac:dyDescent="0.2">
      <c r="B104" s="365"/>
      <c r="C104" s="365"/>
      <c r="D104" s="365"/>
      <c r="E104" s="365"/>
      <c r="F104" s="365"/>
      <c r="G104" s="365"/>
      <c r="H104" s="365"/>
      <c r="I104" s="365"/>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194"/>
      <c r="AG104" s="194"/>
      <c r="AH104" s="365"/>
      <c r="AI104" s="365"/>
      <c r="AJ104" s="365"/>
      <c r="AK104" s="365"/>
      <c r="AL104" s="365"/>
      <c r="AM104" s="365"/>
      <c r="AN104" s="365"/>
      <c r="AO104" s="365"/>
      <c r="AP104" s="365"/>
      <c r="AQ104" s="194"/>
      <c r="AR104" s="194"/>
      <c r="AS104" s="194"/>
      <c r="AT104" s="194"/>
      <c r="AU104" s="194"/>
      <c r="AV104" s="194"/>
      <c r="AW104" s="194"/>
      <c r="AX104" s="194"/>
      <c r="AY104" s="194"/>
      <c r="AZ104" s="194"/>
      <c r="BA104" s="194"/>
      <c r="BB104" s="194"/>
      <c r="BC104" s="194"/>
      <c r="BD104" s="365"/>
      <c r="BE104" s="365"/>
      <c r="BF104" s="365"/>
      <c r="BG104" s="365"/>
      <c r="BH104" s="365"/>
      <c r="BI104" s="365"/>
      <c r="BJ104" s="365"/>
      <c r="BK104" s="365"/>
      <c r="BL104" s="365"/>
      <c r="BM104" s="365"/>
      <c r="BN104" s="365"/>
      <c r="BO104" s="365"/>
      <c r="BP104" s="365"/>
      <c r="BQ104" s="365"/>
      <c r="BR104" s="365"/>
      <c r="BS104" s="365"/>
      <c r="BT104" s="365"/>
      <c r="BU104" s="365"/>
      <c r="BV104" s="365"/>
      <c r="BW104" s="365"/>
      <c r="BX104" s="365"/>
      <c r="BY104" s="194"/>
    </row>
    <row r="105" spans="2:77" ht="5.25" customHeight="1" x14ac:dyDescent="0.2">
      <c r="B105" s="734"/>
      <c r="C105" s="734"/>
      <c r="D105" s="734"/>
      <c r="E105" s="734"/>
      <c r="F105" s="734"/>
      <c r="G105" s="734"/>
      <c r="H105" s="734"/>
      <c r="I105" s="734"/>
      <c r="J105" s="734"/>
      <c r="K105" s="734"/>
      <c r="L105" s="734"/>
      <c r="M105" s="734"/>
      <c r="N105" s="734"/>
      <c r="O105" s="734"/>
      <c r="P105" s="734"/>
      <c r="Q105" s="734"/>
      <c r="R105" s="734"/>
      <c r="S105" s="734"/>
      <c r="T105" s="734"/>
      <c r="U105" s="734"/>
      <c r="V105" s="734"/>
      <c r="W105" s="734"/>
      <c r="X105" s="734"/>
      <c r="Y105" s="734"/>
      <c r="Z105" s="734"/>
      <c r="AA105" s="734"/>
      <c r="AB105" s="734"/>
      <c r="AC105" s="734"/>
      <c r="AD105" s="734"/>
      <c r="AE105" s="734"/>
      <c r="AF105" s="734"/>
      <c r="AG105" s="734"/>
      <c r="AH105" s="734"/>
      <c r="AI105" s="734"/>
      <c r="AJ105" s="734"/>
      <c r="AK105" s="734"/>
      <c r="AL105" s="734"/>
      <c r="AM105" s="734"/>
      <c r="AN105" s="734"/>
      <c r="AO105" s="734"/>
      <c r="AP105" s="734"/>
      <c r="AQ105" s="734"/>
      <c r="AR105" s="734"/>
      <c r="AS105" s="734"/>
      <c r="AT105" s="734"/>
      <c r="AU105" s="734"/>
      <c r="AV105" s="734"/>
      <c r="AW105" s="734"/>
      <c r="AX105" s="734"/>
      <c r="AY105" s="734"/>
      <c r="AZ105" s="734"/>
      <c r="BA105" s="734"/>
      <c r="BB105" s="734"/>
      <c r="BC105" s="734"/>
      <c r="BD105" s="734"/>
      <c r="BE105" s="734"/>
      <c r="BF105" s="734"/>
      <c r="BG105" s="734"/>
      <c r="BH105" s="734"/>
      <c r="BI105" s="734"/>
      <c r="BJ105" s="734"/>
      <c r="BK105" s="734"/>
      <c r="BL105" s="734"/>
      <c r="BM105" s="734"/>
      <c r="BN105" s="734"/>
      <c r="BO105" s="734"/>
      <c r="BP105" s="734"/>
      <c r="BQ105" s="734"/>
      <c r="BR105" s="734"/>
      <c r="BS105" s="734"/>
      <c r="BT105" s="734"/>
      <c r="BU105" s="734"/>
      <c r="BV105" s="734"/>
      <c r="BW105" s="734"/>
      <c r="BX105" s="734"/>
      <c r="BY105" s="734"/>
    </row>
    <row r="106" spans="2:77" ht="12.2" customHeight="1" x14ac:dyDescent="0.2">
      <c r="B106" s="195"/>
      <c r="C106" s="735" t="e">
        <f>IF(Daten!E528=1,IF(Daten!P514=0,"x",""),"")</f>
        <v>#N/A</v>
      </c>
      <c r="D106" s="735"/>
      <c r="E106" s="735"/>
      <c r="F106" s="424"/>
      <c r="G106" s="738" t="e">
        <f>IF(Daten!E528=1,IF(Daten!P508=0,Daten!A673&amp;" "&amp;Daten!A674&amp;" "&amp;Daten!A676,Daten!A673&amp;" "&amp;Daten!A675&amp;" "&amp;Daten!A676),"")</f>
        <v>#N/A</v>
      </c>
      <c r="H106" s="738"/>
      <c r="I106" s="738"/>
      <c r="J106" s="738"/>
      <c r="K106" s="738"/>
      <c r="L106" s="738"/>
      <c r="M106" s="738"/>
      <c r="N106" s="738"/>
      <c r="O106" s="738"/>
      <c r="P106" s="738"/>
      <c r="Q106" s="738"/>
      <c r="R106" s="738"/>
      <c r="S106" s="738"/>
      <c r="T106" s="738"/>
      <c r="U106" s="738"/>
      <c r="V106" s="738"/>
      <c r="W106" s="738"/>
      <c r="X106" s="738"/>
      <c r="Y106" s="738"/>
      <c r="Z106" s="738"/>
      <c r="AA106" s="738"/>
      <c r="AB106" s="738"/>
      <c r="AC106" s="738"/>
      <c r="AD106" s="738"/>
      <c r="AE106" s="738"/>
      <c r="AF106" s="738"/>
      <c r="AG106" s="738"/>
      <c r="AH106" s="738"/>
      <c r="AI106" s="738"/>
      <c r="AJ106" s="738"/>
      <c r="AK106" s="738"/>
      <c r="AL106" s="738"/>
      <c r="AM106" s="738"/>
      <c r="AN106" s="738"/>
      <c r="AO106" s="738"/>
      <c r="AP106" s="738"/>
      <c r="AQ106" s="738"/>
      <c r="AR106" s="738"/>
      <c r="AS106" s="738"/>
      <c r="AT106" s="738"/>
      <c r="AU106" s="738"/>
      <c r="AV106" s="738"/>
      <c r="AW106" s="738"/>
      <c r="AX106" s="738"/>
      <c r="AY106" s="738"/>
      <c r="AZ106" s="738"/>
      <c r="BA106" s="738"/>
      <c r="BB106" s="738"/>
      <c r="BC106" s="738"/>
      <c r="BD106" s="738"/>
      <c r="BE106" s="738"/>
      <c r="BF106" s="738"/>
      <c r="BG106" s="738"/>
      <c r="BH106" s="738"/>
      <c r="BI106" s="738"/>
      <c r="BJ106" s="738"/>
      <c r="BK106" s="738"/>
      <c r="BL106" s="738"/>
      <c r="BM106" s="738"/>
      <c r="BN106" s="738"/>
      <c r="BO106" s="738"/>
      <c r="BP106" s="738"/>
      <c r="BQ106" s="738"/>
      <c r="BR106" s="738"/>
      <c r="BS106" s="738"/>
      <c r="BT106" s="738"/>
      <c r="BU106" s="738"/>
      <c r="BV106" s="738"/>
      <c r="BW106" s="738"/>
      <c r="BX106" s="738"/>
      <c r="BY106" s="737"/>
    </row>
    <row r="107" spans="2:77" ht="12.2" customHeight="1" x14ac:dyDescent="0.2">
      <c r="B107" s="734"/>
      <c r="C107" s="735"/>
      <c r="D107" s="735"/>
      <c r="E107" s="735"/>
      <c r="F107" s="735"/>
      <c r="G107" s="738" t="e">
        <f>IF(Daten!E528=1,"Kostensenkungsverfahren sind erst nach Ablauf der Karenzzeit durchzuführen.","")</f>
        <v>#N/A</v>
      </c>
      <c r="H107" s="738"/>
      <c r="I107" s="738"/>
      <c r="J107" s="738"/>
      <c r="K107" s="738"/>
      <c r="L107" s="738"/>
      <c r="M107" s="738"/>
      <c r="N107" s="738"/>
      <c r="O107" s="738"/>
      <c r="P107" s="738"/>
      <c r="Q107" s="738"/>
      <c r="R107" s="738"/>
      <c r="S107" s="738"/>
      <c r="T107" s="738"/>
      <c r="U107" s="738"/>
      <c r="V107" s="738"/>
      <c r="W107" s="738"/>
      <c r="X107" s="738"/>
      <c r="Y107" s="738"/>
      <c r="Z107" s="738"/>
      <c r="AA107" s="738"/>
      <c r="AB107" s="738"/>
      <c r="AC107" s="738"/>
      <c r="AD107" s="738"/>
      <c r="AE107" s="738"/>
      <c r="AF107" s="738"/>
      <c r="AG107" s="738"/>
      <c r="AH107" s="738"/>
      <c r="AI107" s="738"/>
      <c r="AJ107" s="738"/>
      <c r="AK107" s="738"/>
      <c r="AL107" s="738"/>
      <c r="AM107" s="738"/>
      <c r="AN107" s="738"/>
      <c r="AO107" s="738"/>
      <c r="AP107" s="738"/>
      <c r="AQ107" s="738"/>
      <c r="AR107" s="738"/>
      <c r="AS107" s="738"/>
      <c r="AT107" s="738"/>
      <c r="AU107" s="738"/>
      <c r="AV107" s="738"/>
      <c r="AW107" s="738"/>
      <c r="AX107" s="738"/>
      <c r="AY107" s="738"/>
      <c r="AZ107" s="738"/>
      <c r="BA107" s="738"/>
      <c r="BB107" s="738"/>
      <c r="BC107" s="738"/>
      <c r="BD107" s="738"/>
      <c r="BE107" s="738"/>
      <c r="BF107" s="738"/>
      <c r="BG107" s="738"/>
      <c r="BH107" s="738"/>
      <c r="BI107" s="738"/>
      <c r="BJ107" s="738"/>
      <c r="BK107" s="738"/>
      <c r="BL107" s="738"/>
      <c r="BM107" s="738"/>
      <c r="BN107" s="738"/>
      <c r="BO107" s="738"/>
      <c r="BP107" s="738"/>
      <c r="BQ107" s="738"/>
      <c r="BR107" s="738"/>
      <c r="BS107" s="738"/>
      <c r="BT107" s="738"/>
      <c r="BU107" s="738"/>
      <c r="BV107" s="738"/>
      <c r="BW107" s="738"/>
      <c r="BX107" s="738"/>
      <c r="BY107" s="737"/>
    </row>
    <row r="108" spans="2:77" ht="12.2" customHeight="1" x14ac:dyDescent="0.2">
      <c r="B108" s="734"/>
      <c r="C108" s="734"/>
      <c r="D108" s="734"/>
      <c r="E108" s="734"/>
      <c r="F108" s="734"/>
      <c r="G108" s="734"/>
      <c r="H108" s="734"/>
      <c r="I108" s="734"/>
      <c r="J108" s="734"/>
      <c r="K108" s="734"/>
      <c r="L108" s="734"/>
      <c r="M108" s="734"/>
      <c r="N108" s="734"/>
      <c r="O108" s="734"/>
      <c r="P108" s="734"/>
      <c r="Q108" s="734"/>
      <c r="R108" s="734"/>
      <c r="S108" s="734"/>
      <c r="T108" s="734"/>
      <c r="U108" s="734"/>
      <c r="V108" s="734"/>
      <c r="W108" s="734"/>
      <c r="X108" s="734"/>
      <c r="Y108" s="734"/>
      <c r="Z108" s="734"/>
      <c r="AA108" s="734"/>
      <c r="AB108" s="734"/>
      <c r="AC108" s="734"/>
      <c r="AD108" s="734"/>
      <c r="AE108" s="734"/>
      <c r="AF108" s="734"/>
      <c r="AG108" s="734"/>
      <c r="AH108" s="734"/>
      <c r="AI108" s="734"/>
      <c r="AJ108" s="734"/>
      <c r="AK108" s="734"/>
      <c r="AL108" s="734"/>
      <c r="AM108" s="734"/>
      <c r="AN108" s="734"/>
      <c r="AO108" s="734"/>
      <c r="AP108" s="734"/>
      <c r="AQ108" s="734"/>
      <c r="AR108" s="734"/>
      <c r="AS108" s="734"/>
      <c r="AT108" s="734"/>
      <c r="AU108" s="734"/>
      <c r="AV108" s="734"/>
      <c r="AW108" s="734"/>
      <c r="AX108" s="734"/>
      <c r="AY108" s="734"/>
      <c r="AZ108" s="734"/>
      <c r="BA108" s="734"/>
      <c r="BB108" s="734"/>
      <c r="BC108" s="734"/>
      <c r="BD108" s="734"/>
      <c r="BE108" s="734"/>
      <c r="BF108" s="734"/>
      <c r="BG108" s="734"/>
      <c r="BH108" s="734"/>
      <c r="BI108" s="734"/>
      <c r="BJ108" s="734"/>
      <c r="BK108" s="734"/>
      <c r="BL108" s="734"/>
      <c r="BM108" s="734"/>
      <c r="BN108" s="734"/>
      <c r="BO108" s="734"/>
      <c r="BP108" s="734"/>
      <c r="BQ108" s="734"/>
      <c r="BR108" s="734"/>
      <c r="BS108" s="734"/>
      <c r="BT108" s="734"/>
      <c r="BU108" s="734"/>
      <c r="BV108" s="734"/>
      <c r="BW108" s="734"/>
      <c r="BX108" s="734"/>
      <c r="BY108" s="737"/>
    </row>
    <row r="109" spans="2:77" ht="12.2" customHeight="1" x14ac:dyDescent="0.2">
      <c r="B109" s="734"/>
      <c r="C109" s="736" t="e">
        <f>IF(Daten!E528=1,IF(Daten!P514=1,"x",""),"")</f>
        <v>#N/A</v>
      </c>
      <c r="D109" s="736"/>
      <c r="E109" s="736"/>
      <c r="F109" s="194"/>
      <c r="G109" s="733" t="e">
        <f>IF(Daten!E528=1,IF(Daten!P508=0,Daten!A673&amp;" "&amp;Daten!A674&amp;" "&amp;Daten!A677&amp;Daten!A678,Daten!A673&amp;" "&amp;Daten!A675&amp;" "&amp;Daten!A677&amp;Daten!A678),"")</f>
        <v>#N/A</v>
      </c>
      <c r="H109" s="733"/>
      <c r="I109" s="733"/>
      <c r="J109" s="733"/>
      <c r="K109" s="733"/>
      <c r="L109" s="733"/>
      <c r="M109" s="733"/>
      <c r="N109" s="733"/>
      <c r="O109" s="733"/>
      <c r="P109" s="733"/>
      <c r="Q109" s="733"/>
      <c r="R109" s="733"/>
      <c r="S109" s="733"/>
      <c r="T109" s="733"/>
      <c r="U109" s="733"/>
      <c r="V109" s="733"/>
      <c r="W109" s="733"/>
      <c r="X109" s="733"/>
      <c r="Y109" s="733"/>
      <c r="Z109" s="733"/>
      <c r="AA109" s="733"/>
      <c r="AB109" s="733"/>
      <c r="AC109" s="733"/>
      <c r="AD109" s="733"/>
      <c r="AE109" s="733"/>
      <c r="AF109" s="733"/>
      <c r="AG109" s="733"/>
      <c r="AH109" s="733"/>
      <c r="AI109" s="733"/>
      <c r="AJ109" s="733"/>
      <c r="AK109" s="733"/>
      <c r="AL109" s="733"/>
      <c r="AM109" s="733"/>
      <c r="AN109" s="733"/>
      <c r="AO109" s="733"/>
      <c r="AP109" s="733"/>
      <c r="AQ109" s="733"/>
      <c r="AR109" s="733"/>
      <c r="AS109" s="733"/>
      <c r="AT109" s="733"/>
      <c r="AU109" s="733"/>
      <c r="AV109" s="733"/>
      <c r="AW109" s="733"/>
      <c r="AX109" s="733"/>
      <c r="AY109" s="733"/>
      <c r="AZ109" s="733"/>
      <c r="BA109" s="733"/>
      <c r="BB109" s="733"/>
      <c r="BC109" s="733"/>
      <c r="BD109" s="733"/>
      <c r="BE109" s="733"/>
      <c r="BF109" s="733"/>
      <c r="BG109" s="733"/>
      <c r="BH109" s="733"/>
      <c r="BI109" s="733"/>
      <c r="BJ109" s="733"/>
      <c r="BK109" s="733"/>
      <c r="BL109" s="733"/>
      <c r="BM109" s="733"/>
      <c r="BN109" s="733"/>
      <c r="BO109" s="733"/>
      <c r="BP109" s="733"/>
      <c r="BQ109" s="733"/>
      <c r="BR109" s="733"/>
      <c r="BS109" s="733"/>
      <c r="BT109" s="733"/>
      <c r="BU109" s="733"/>
      <c r="BV109" s="733"/>
      <c r="BW109" s="733"/>
      <c r="BX109" s="733"/>
      <c r="BY109" s="737"/>
    </row>
    <row r="110" spans="2:77" ht="15.75" customHeight="1" x14ac:dyDescent="0.2">
      <c r="B110" s="734"/>
      <c r="C110" s="736"/>
      <c r="D110" s="736"/>
      <c r="E110" s="736"/>
      <c r="F110" s="736"/>
      <c r="G110" s="733"/>
      <c r="H110" s="733"/>
      <c r="I110" s="733"/>
      <c r="J110" s="733"/>
      <c r="K110" s="733"/>
      <c r="L110" s="733"/>
      <c r="M110" s="733"/>
      <c r="N110" s="733"/>
      <c r="O110" s="733"/>
      <c r="P110" s="733"/>
      <c r="Q110" s="733"/>
      <c r="R110" s="733"/>
      <c r="S110" s="733"/>
      <c r="T110" s="733"/>
      <c r="U110" s="733"/>
      <c r="V110" s="733"/>
      <c r="W110" s="733"/>
      <c r="X110" s="733"/>
      <c r="Y110" s="733"/>
      <c r="Z110" s="733"/>
      <c r="AA110" s="733"/>
      <c r="AB110" s="733"/>
      <c r="AC110" s="733"/>
      <c r="AD110" s="733"/>
      <c r="AE110" s="733"/>
      <c r="AF110" s="733"/>
      <c r="AG110" s="733"/>
      <c r="AH110" s="733"/>
      <c r="AI110" s="733"/>
      <c r="AJ110" s="733"/>
      <c r="AK110" s="733"/>
      <c r="AL110" s="733"/>
      <c r="AM110" s="733"/>
      <c r="AN110" s="733"/>
      <c r="AO110" s="733"/>
      <c r="AP110" s="733"/>
      <c r="AQ110" s="733"/>
      <c r="AR110" s="733"/>
      <c r="AS110" s="733"/>
      <c r="AT110" s="733"/>
      <c r="AU110" s="733"/>
      <c r="AV110" s="733"/>
      <c r="AW110" s="733"/>
      <c r="AX110" s="733"/>
      <c r="AY110" s="733"/>
      <c r="AZ110" s="733"/>
      <c r="BA110" s="733"/>
      <c r="BB110" s="733"/>
      <c r="BC110" s="733"/>
      <c r="BD110" s="733"/>
      <c r="BE110" s="733"/>
      <c r="BF110" s="733"/>
      <c r="BG110" s="733"/>
      <c r="BH110" s="733"/>
      <c r="BI110" s="733"/>
      <c r="BJ110" s="733"/>
      <c r="BK110" s="733"/>
      <c r="BL110" s="733"/>
      <c r="BM110" s="733"/>
      <c r="BN110" s="733"/>
      <c r="BO110" s="733"/>
      <c r="BP110" s="733"/>
      <c r="BQ110" s="733"/>
      <c r="BR110" s="733"/>
      <c r="BS110" s="733"/>
      <c r="BT110" s="733"/>
      <c r="BU110" s="733"/>
      <c r="BV110" s="733"/>
      <c r="BW110" s="733"/>
      <c r="BX110" s="733"/>
      <c r="BY110" s="737"/>
    </row>
    <row r="111" spans="2:77" ht="11.25" customHeight="1" x14ac:dyDescent="0.2">
      <c r="B111" s="734"/>
      <c r="C111" s="734"/>
      <c r="D111" s="734"/>
      <c r="E111" s="734"/>
      <c r="F111" s="734"/>
      <c r="G111" s="734"/>
      <c r="H111" s="734"/>
      <c r="I111" s="734"/>
      <c r="J111" s="734"/>
      <c r="K111" s="734"/>
      <c r="L111" s="734"/>
      <c r="M111" s="734"/>
      <c r="N111" s="734"/>
      <c r="O111" s="734"/>
      <c r="P111" s="734"/>
      <c r="Q111" s="734"/>
      <c r="R111" s="734"/>
      <c r="S111" s="734"/>
      <c r="T111" s="734"/>
      <c r="U111" s="734"/>
      <c r="V111" s="734"/>
      <c r="W111" s="734"/>
      <c r="X111" s="734"/>
      <c r="Y111" s="734"/>
      <c r="Z111" s="734"/>
      <c r="AA111" s="734"/>
      <c r="AB111" s="734"/>
      <c r="AC111" s="734"/>
      <c r="AD111" s="734"/>
      <c r="AE111" s="734"/>
      <c r="AF111" s="734"/>
      <c r="AG111" s="734"/>
      <c r="AH111" s="734"/>
      <c r="AI111" s="734"/>
      <c r="AJ111" s="734"/>
      <c r="AK111" s="734"/>
      <c r="AL111" s="734"/>
      <c r="AM111" s="734"/>
      <c r="AN111" s="734"/>
      <c r="AO111" s="734"/>
      <c r="AP111" s="734"/>
      <c r="AQ111" s="734"/>
      <c r="AR111" s="734"/>
      <c r="AS111" s="734"/>
      <c r="AT111" s="734"/>
      <c r="AU111" s="734"/>
      <c r="AV111" s="734"/>
      <c r="AW111" s="734"/>
      <c r="AX111" s="734"/>
      <c r="AY111" s="734"/>
      <c r="AZ111" s="734"/>
      <c r="BA111" s="734"/>
      <c r="BB111" s="734"/>
      <c r="BC111" s="734"/>
      <c r="BD111" s="734"/>
      <c r="BE111" s="734"/>
      <c r="BF111" s="734"/>
      <c r="BG111" s="734"/>
      <c r="BH111" s="734"/>
      <c r="BI111" s="734"/>
      <c r="BJ111" s="734"/>
      <c r="BK111" s="734"/>
      <c r="BL111" s="734"/>
      <c r="BM111" s="734"/>
      <c r="BN111" s="734"/>
      <c r="BO111" s="734"/>
      <c r="BP111" s="734"/>
      <c r="BQ111" s="734"/>
      <c r="BR111" s="734"/>
      <c r="BS111" s="734"/>
      <c r="BT111" s="734"/>
      <c r="BU111" s="734"/>
      <c r="BV111" s="734"/>
      <c r="BW111" s="734"/>
      <c r="BX111" s="734"/>
      <c r="BY111" s="734"/>
    </row>
    <row r="112" spans="2:77" ht="15" customHeight="1" x14ac:dyDescent="0.2">
      <c r="B112" s="739" t="e">
        <f>IF(Daten!E528=1,IF(Daten!P514=1,Daten!A666,""),"")</f>
        <v>#N/A</v>
      </c>
      <c r="C112" s="739"/>
      <c r="D112" s="739"/>
      <c r="E112" s="739"/>
      <c r="F112" s="739"/>
      <c r="G112" s="739"/>
      <c r="H112" s="739"/>
      <c r="I112" s="739"/>
      <c r="J112" s="739"/>
      <c r="K112" s="739"/>
      <c r="L112" s="739"/>
      <c r="M112" s="739"/>
      <c r="N112" s="739"/>
      <c r="O112" s="739"/>
      <c r="P112" s="739"/>
      <c r="Q112" s="739"/>
      <c r="R112" s="739"/>
      <c r="S112" s="739"/>
      <c r="T112" s="739"/>
      <c r="U112" s="739"/>
      <c r="V112" s="739"/>
      <c r="W112" s="739"/>
      <c r="X112" s="739"/>
      <c r="Y112" s="739"/>
      <c r="Z112" s="739"/>
      <c r="AA112" s="739"/>
      <c r="AB112" s="739"/>
      <c r="AC112" s="739"/>
      <c r="AD112" s="739"/>
      <c r="AE112" s="739"/>
      <c r="AF112" s="739"/>
      <c r="AG112" s="739"/>
      <c r="AH112" s="739"/>
      <c r="AI112" s="739"/>
      <c r="AJ112" s="739"/>
      <c r="AK112" s="739"/>
      <c r="AL112" s="739"/>
      <c r="AM112" s="739"/>
      <c r="AN112" s="739"/>
      <c r="AO112" s="739"/>
      <c r="AP112" s="739"/>
      <c r="AQ112" s="739"/>
      <c r="AR112" s="739"/>
      <c r="AS112" s="739"/>
      <c r="AT112" s="739"/>
      <c r="AU112" s="739"/>
      <c r="AV112" s="739"/>
      <c r="AW112" s="739"/>
      <c r="AX112" s="739"/>
      <c r="AY112" s="739"/>
      <c r="AZ112" s="739"/>
      <c r="BA112" s="739"/>
      <c r="BB112" s="739"/>
      <c r="BC112" s="739"/>
      <c r="BD112" s="739"/>
      <c r="BE112" s="739"/>
      <c r="BF112" s="739"/>
      <c r="BG112" s="739"/>
      <c r="BH112" s="739"/>
      <c r="BI112" s="739"/>
      <c r="BJ112" s="739"/>
      <c r="BK112" s="739"/>
      <c r="BL112" s="739"/>
      <c r="BM112" s="739"/>
      <c r="BN112" s="739"/>
      <c r="BO112" s="739"/>
      <c r="BP112" s="739"/>
      <c r="BQ112" s="739"/>
      <c r="BR112" s="739"/>
      <c r="BS112" s="739"/>
      <c r="BT112" s="739"/>
      <c r="BU112" s="739"/>
      <c r="BV112" s="739"/>
      <c r="BW112" s="739"/>
      <c r="BX112" s="739"/>
      <c r="BY112" s="739"/>
    </row>
    <row r="113" spans="2:77" ht="8.1" customHeight="1" x14ac:dyDescent="0.2">
      <c r="B113" s="740"/>
      <c r="C113" s="740"/>
      <c r="D113" s="740"/>
      <c r="E113" s="740"/>
      <c r="F113" s="740"/>
      <c r="G113" s="740"/>
      <c r="H113" s="740"/>
      <c r="I113" s="740"/>
      <c r="J113" s="740"/>
      <c r="K113" s="740"/>
      <c r="L113" s="740"/>
      <c r="M113" s="740"/>
      <c r="N113" s="740"/>
      <c r="O113" s="740"/>
      <c r="P113" s="740"/>
      <c r="Q113" s="740"/>
      <c r="R113" s="740"/>
      <c r="S113" s="740"/>
      <c r="T113" s="740"/>
      <c r="U113" s="740"/>
      <c r="V113" s="740"/>
      <c r="W113" s="740"/>
      <c r="X113" s="740"/>
      <c r="Y113" s="740"/>
      <c r="Z113" s="740"/>
      <c r="AA113" s="740"/>
      <c r="AB113" s="740"/>
      <c r="AC113" s="740"/>
      <c r="AD113" s="740"/>
      <c r="AE113" s="740"/>
      <c r="AF113" s="740"/>
      <c r="AG113" s="740"/>
      <c r="AH113" s="740"/>
      <c r="AI113" s="740"/>
      <c r="AJ113" s="740"/>
      <c r="AK113" s="740"/>
      <c r="AL113" s="740"/>
      <c r="AM113" s="740"/>
      <c r="AN113" s="740"/>
      <c r="AO113" s="740"/>
      <c r="AP113" s="740"/>
      <c r="AQ113" s="740"/>
      <c r="AR113" s="740"/>
      <c r="AS113" s="740"/>
      <c r="AT113" s="740"/>
      <c r="AU113" s="740"/>
      <c r="AV113" s="740"/>
      <c r="AW113" s="740"/>
      <c r="AX113" s="740"/>
      <c r="AY113" s="740"/>
      <c r="AZ113" s="740"/>
      <c r="BA113" s="740"/>
      <c r="BB113" s="740"/>
      <c r="BC113" s="740"/>
      <c r="BD113" s="740"/>
      <c r="BE113" s="740"/>
      <c r="BF113" s="740"/>
      <c r="BG113" s="740"/>
      <c r="BH113" s="740"/>
      <c r="BI113" s="740"/>
      <c r="BJ113" s="740"/>
      <c r="BK113" s="740"/>
      <c r="BL113" s="740"/>
      <c r="BM113" s="740"/>
      <c r="BN113" s="740"/>
      <c r="BO113" s="740"/>
      <c r="BP113" s="740"/>
      <c r="BQ113" s="740"/>
      <c r="BR113" s="740"/>
      <c r="BS113" s="740"/>
      <c r="BT113" s="740"/>
      <c r="BU113" s="740"/>
      <c r="BV113" s="740"/>
      <c r="BW113" s="740"/>
      <c r="BX113" s="740"/>
      <c r="BY113" s="740"/>
    </row>
    <row r="114" spans="2:77" ht="12.2" customHeight="1" x14ac:dyDescent="0.2">
      <c r="B114" s="740"/>
      <c r="C114" s="365" t="e">
        <f>IF(Daten!E528=1,IF(Daten!P514=1,"-",""),"")</f>
        <v>#N/A</v>
      </c>
      <c r="D114" s="365"/>
      <c r="E114" s="696" t="e">
        <f>IF(Daten!E528=1,IF(Daten!P514=1,"max. angemessene Heizkosten (monatlich, bezogen auf "&amp;TEXT(Daten!D86,0)&amp;" Abschläge)",""),"")</f>
        <v>#N/A</v>
      </c>
      <c r="F114" s="696"/>
      <c r="G114" s="696"/>
      <c r="H114" s="696"/>
      <c r="I114" s="696"/>
      <c r="J114" s="696"/>
      <c r="K114" s="696"/>
      <c r="L114" s="696"/>
      <c r="M114" s="696"/>
      <c r="N114" s="696"/>
      <c r="O114" s="696"/>
      <c r="P114" s="696"/>
      <c r="Q114" s="696"/>
      <c r="R114" s="696"/>
      <c r="S114" s="696"/>
      <c r="T114" s="696"/>
      <c r="U114" s="696"/>
      <c r="V114" s="696"/>
      <c r="W114" s="696"/>
      <c r="X114" s="696"/>
      <c r="Y114" s="696"/>
      <c r="Z114" s="696"/>
      <c r="AA114" s="696"/>
      <c r="AB114" s="696"/>
      <c r="AC114" s="696"/>
      <c r="AD114" s="696"/>
      <c r="AE114" s="696"/>
      <c r="AF114" s="696"/>
      <c r="AG114" s="696"/>
      <c r="AH114" s="696"/>
      <c r="AI114" s="696"/>
      <c r="AJ114" s="696"/>
      <c r="AK114" s="696"/>
      <c r="AL114" s="696"/>
      <c r="AM114" s="696"/>
      <c r="AN114" s="696"/>
      <c r="AO114" s="696"/>
      <c r="AP114" s="696"/>
      <c r="AQ114" s="696"/>
      <c r="AR114" s="696"/>
      <c r="AS114" s="696"/>
      <c r="AT114" s="696"/>
      <c r="AU114" s="696"/>
      <c r="AV114" s="696"/>
      <c r="AW114" s="696"/>
      <c r="AX114" s="696"/>
      <c r="AY114" s="194" t="e">
        <f>IF(Daten!E528=1,IF(Daten!P514=1,"="),"")</f>
        <v>#N/A</v>
      </c>
      <c r="AZ114" s="697" t="e">
        <f>IF(Daten!E528=1,IF(Daten!P514=1,Daten!P510,""),"")</f>
        <v>#N/A</v>
      </c>
      <c r="BA114" s="697"/>
      <c r="BB114" s="697"/>
      <c r="BC114" s="697"/>
      <c r="BD114" s="697"/>
      <c r="BE114" s="697"/>
      <c r="BF114" s="697"/>
      <c r="BG114" s="697"/>
      <c r="BH114" s="697"/>
      <c r="BI114" s="365"/>
      <c r="BJ114" s="744" t="e">
        <f>IF(Daten!E528=1,IF(Daten!P514=1,"Euro",""),"")</f>
        <v>#N/A</v>
      </c>
      <c r="BK114" s="744"/>
      <c r="BL114" s="744"/>
      <c r="BM114" s="744"/>
      <c r="BN114" s="744"/>
      <c r="BO114" s="744"/>
      <c r="BP114" s="744"/>
      <c r="BQ114" s="744"/>
      <c r="BR114" s="744"/>
      <c r="BS114" s="744"/>
      <c r="BT114" s="744"/>
      <c r="BU114" s="744"/>
      <c r="BV114" s="744"/>
      <c r="BW114" s="744"/>
      <c r="BX114" s="744"/>
      <c r="BY114" s="744"/>
    </row>
    <row r="115" spans="2:77" ht="5.0999999999999996" customHeight="1" x14ac:dyDescent="0.2">
      <c r="B115" s="740"/>
      <c r="C115" s="740"/>
      <c r="D115" s="740"/>
      <c r="E115" s="740"/>
      <c r="F115" s="740"/>
      <c r="G115" s="740"/>
      <c r="H115" s="740"/>
      <c r="I115" s="740"/>
      <c r="J115" s="740"/>
      <c r="K115" s="740"/>
      <c r="L115" s="740"/>
      <c r="M115" s="740"/>
      <c r="N115" s="740"/>
      <c r="O115" s="740"/>
      <c r="P115" s="740"/>
      <c r="Q115" s="740"/>
      <c r="R115" s="740"/>
      <c r="S115" s="740"/>
      <c r="T115" s="740"/>
      <c r="U115" s="740"/>
      <c r="V115" s="740"/>
      <c r="W115" s="740"/>
      <c r="X115" s="740"/>
      <c r="Y115" s="740"/>
      <c r="Z115" s="740"/>
      <c r="AA115" s="740"/>
      <c r="AB115" s="740"/>
      <c r="AC115" s="740"/>
      <c r="AD115" s="740"/>
      <c r="AE115" s="740"/>
      <c r="AF115" s="740"/>
      <c r="AG115" s="740"/>
      <c r="AH115" s="740"/>
      <c r="AI115" s="740"/>
      <c r="AJ115" s="740"/>
      <c r="AK115" s="740"/>
      <c r="AL115" s="740"/>
      <c r="AM115" s="740"/>
      <c r="AN115" s="740"/>
      <c r="AO115" s="740"/>
      <c r="AP115" s="740"/>
      <c r="AQ115" s="740"/>
      <c r="AR115" s="740"/>
      <c r="AS115" s="740"/>
      <c r="AT115" s="740"/>
      <c r="AU115" s="740"/>
      <c r="AV115" s="740"/>
      <c r="AW115" s="740"/>
      <c r="AX115" s="740"/>
      <c r="AY115" s="740"/>
      <c r="AZ115" s="740"/>
      <c r="BA115" s="740"/>
      <c r="BB115" s="740"/>
      <c r="BC115" s="740"/>
      <c r="BD115" s="740"/>
      <c r="BE115" s="740"/>
      <c r="BF115" s="740"/>
      <c r="BG115" s="740"/>
      <c r="BH115" s="740"/>
      <c r="BI115" s="740"/>
      <c r="BJ115" s="740"/>
      <c r="BK115" s="740"/>
      <c r="BL115" s="740"/>
      <c r="BM115" s="740"/>
      <c r="BN115" s="740"/>
      <c r="BO115" s="740"/>
      <c r="BP115" s="740"/>
      <c r="BQ115" s="740"/>
      <c r="BR115" s="740"/>
      <c r="BS115" s="740"/>
      <c r="BT115" s="740"/>
      <c r="BU115" s="740"/>
      <c r="BV115" s="740"/>
      <c r="BW115" s="740"/>
      <c r="BX115" s="740"/>
      <c r="BY115" s="740"/>
    </row>
    <row r="116" spans="2:77" ht="11.25" customHeight="1" x14ac:dyDescent="0.2">
      <c r="B116" s="740"/>
      <c r="C116" s="365" t="e">
        <f>IF(Daten!E528=1,IF(Daten!P514=1,"-",""),"")</f>
        <v>#N/A</v>
      </c>
      <c r="D116" s="365"/>
      <c r="E116" s="696" t="e">
        <f>IF(Daten!E528=1,IF(Daten!P514=1,"max. angemessene Heizkosten jährlich (= mtl. Betrag x "&amp;TEXT(Daten!D86,0)&amp;" Monate)",""),"")</f>
        <v>#N/A</v>
      </c>
      <c r="F116" s="696"/>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696"/>
      <c r="AK116" s="696"/>
      <c r="AL116" s="696"/>
      <c r="AM116" s="696"/>
      <c r="AN116" s="696"/>
      <c r="AO116" s="696"/>
      <c r="AP116" s="696"/>
      <c r="AQ116" s="696"/>
      <c r="AR116" s="696"/>
      <c r="AS116" s="696"/>
      <c r="AT116" s="696"/>
      <c r="AU116" s="696"/>
      <c r="AV116" s="696"/>
      <c r="AW116" s="696"/>
      <c r="AX116" s="696"/>
      <c r="AY116" s="194" t="e">
        <f>IF(Daten!E528=1,IF(Daten!P514=1,"=",""),"")</f>
        <v>#N/A</v>
      </c>
      <c r="AZ116" s="697" t="e">
        <f>IF(Daten!E528=1,IF(Daten!P514=1,Daten!P512,""),"")</f>
        <v>#N/A</v>
      </c>
      <c r="BA116" s="697"/>
      <c r="BB116" s="697"/>
      <c r="BC116" s="697"/>
      <c r="BD116" s="697"/>
      <c r="BE116" s="697"/>
      <c r="BF116" s="697"/>
      <c r="BG116" s="697"/>
      <c r="BH116" s="697"/>
      <c r="BI116" s="365"/>
      <c r="BJ116" s="744" t="e">
        <f>IF(Daten!E528=1,IF(Daten!P514=1,"Euro",""),"")</f>
        <v>#N/A</v>
      </c>
      <c r="BK116" s="744"/>
      <c r="BL116" s="744"/>
      <c r="BM116" s="744"/>
      <c r="BN116" s="744"/>
      <c r="BO116" s="744"/>
      <c r="BP116" s="744"/>
      <c r="BQ116" s="744"/>
      <c r="BR116" s="744"/>
      <c r="BS116" s="744"/>
      <c r="BT116" s="744"/>
      <c r="BU116" s="744"/>
      <c r="BV116" s="744"/>
      <c r="BW116" s="744"/>
      <c r="BX116" s="744"/>
      <c r="BY116" s="744"/>
    </row>
    <row r="117" spans="2:77" ht="5.0999999999999996" customHeight="1" x14ac:dyDescent="0.2">
      <c r="B117" s="740"/>
      <c r="C117" s="741"/>
      <c r="D117" s="741"/>
      <c r="E117" s="741"/>
      <c r="F117" s="741"/>
      <c r="G117" s="741"/>
      <c r="H117" s="741"/>
      <c r="I117" s="741"/>
      <c r="J117" s="741"/>
      <c r="K117" s="741"/>
      <c r="L117" s="741"/>
      <c r="M117" s="741"/>
      <c r="N117" s="741"/>
      <c r="O117" s="741"/>
      <c r="P117" s="741"/>
      <c r="Q117" s="741"/>
      <c r="R117" s="741"/>
      <c r="S117" s="741"/>
      <c r="T117" s="741"/>
      <c r="U117" s="741"/>
      <c r="V117" s="741"/>
      <c r="W117" s="741"/>
      <c r="X117" s="741"/>
      <c r="Y117" s="741"/>
      <c r="Z117" s="741"/>
      <c r="AA117" s="741"/>
      <c r="AB117" s="741"/>
      <c r="AC117" s="741"/>
      <c r="AD117" s="741"/>
      <c r="AE117" s="741"/>
      <c r="AF117" s="741"/>
      <c r="AG117" s="741"/>
      <c r="AH117" s="741"/>
      <c r="AI117" s="741"/>
      <c r="AJ117" s="741"/>
      <c r="AK117" s="741"/>
      <c r="AL117" s="741"/>
      <c r="AM117" s="741"/>
      <c r="AN117" s="741"/>
      <c r="AO117" s="741"/>
      <c r="AP117" s="741"/>
      <c r="AQ117" s="741"/>
      <c r="AR117" s="741"/>
      <c r="AS117" s="741"/>
      <c r="AT117" s="741"/>
      <c r="AU117" s="741"/>
      <c r="AV117" s="741"/>
      <c r="AW117" s="741"/>
      <c r="AX117" s="741"/>
      <c r="AY117" s="741"/>
      <c r="AZ117" s="741"/>
      <c r="BA117" s="741"/>
      <c r="BB117" s="741"/>
      <c r="BC117" s="741"/>
      <c r="BD117" s="741"/>
      <c r="BE117" s="741"/>
      <c r="BF117" s="741"/>
      <c r="BG117" s="741"/>
      <c r="BH117" s="741"/>
      <c r="BI117" s="741"/>
      <c r="BJ117" s="741"/>
      <c r="BK117" s="741"/>
      <c r="BL117" s="741"/>
      <c r="BM117" s="741"/>
      <c r="BN117" s="741"/>
      <c r="BO117" s="741"/>
      <c r="BP117" s="741"/>
      <c r="BQ117" s="741"/>
      <c r="BR117" s="741"/>
      <c r="BS117" s="741"/>
      <c r="BT117" s="741"/>
      <c r="BU117" s="741"/>
      <c r="BV117" s="741"/>
      <c r="BW117" s="741"/>
      <c r="BX117" s="741"/>
      <c r="BY117" s="741"/>
    </row>
    <row r="118" spans="2:77" ht="14.25" customHeight="1" x14ac:dyDescent="0.2">
      <c r="B118" s="740"/>
      <c r="C118" s="519" t="e">
        <f>IF(Daten!E528=1,IF(Daten!P514=1,"-",""))</f>
        <v>#N/A</v>
      </c>
      <c r="E118" s="742" t="e">
        <f>IF(Daten!E528=1,IF(Daten!P514=1,"Berechnungsgrundlage Angemessenheitsgrenze:",""),"")</f>
        <v>#N/A</v>
      </c>
      <c r="F118" s="742"/>
      <c r="G118" s="742"/>
      <c r="H118" s="742"/>
      <c r="I118" s="742"/>
      <c r="J118" s="742"/>
      <c r="K118" s="742"/>
      <c r="L118" s="742"/>
      <c r="M118" s="742"/>
      <c r="N118" s="742"/>
      <c r="O118" s="742"/>
      <c r="P118" s="742"/>
      <c r="Q118" s="742"/>
      <c r="R118" s="742"/>
      <c r="S118" s="742"/>
      <c r="T118" s="742"/>
      <c r="U118" s="742"/>
      <c r="V118" s="742"/>
      <c r="W118" s="742"/>
      <c r="X118" s="742"/>
      <c r="Y118" s="742"/>
      <c r="Z118" s="742"/>
      <c r="AA118" s="742"/>
      <c r="AB118" s="742"/>
      <c r="AC118" s="742"/>
      <c r="AD118" s="742"/>
      <c r="AE118" s="742"/>
      <c r="AF118" s="742"/>
      <c r="AG118" s="742"/>
      <c r="AH118" s="742"/>
      <c r="AI118" s="742"/>
      <c r="AJ118" s="742"/>
      <c r="AK118" s="742"/>
      <c r="AL118" s="742"/>
      <c r="AM118" s="742"/>
      <c r="AN118" s="742"/>
      <c r="AO118" s="742"/>
      <c r="AP118" s="742"/>
      <c r="AQ118" s="742"/>
      <c r="AR118" s="742"/>
      <c r="AS118" s="742"/>
      <c r="AT118" s="742"/>
      <c r="AU118" s="743" t="e">
        <f>IF(Daten!E528=1,IF(Daten!P514=1,IF(Daten!P508=1,Daten!A681&amp;" "&amp;Daten!A682&amp;" (= "&amp;TEXT(Daten!D135,"0,00")&amp;" m²)",Daten!A680&amp;" "&amp;Daten!A682&amp;" (= "&amp;TEXT(Daten!D97,"0,00")&amp;" m²)"),""),"")</f>
        <v>#N/A</v>
      </c>
      <c r="AV118" s="743"/>
      <c r="AW118" s="743"/>
      <c r="AX118" s="743"/>
      <c r="AY118" s="743"/>
      <c r="AZ118" s="743"/>
      <c r="BA118" s="743"/>
      <c r="BB118" s="743"/>
      <c r="BC118" s="743"/>
      <c r="BD118" s="743"/>
      <c r="BE118" s="743"/>
      <c r="BF118" s="743"/>
      <c r="BG118" s="743"/>
      <c r="BH118" s="743"/>
      <c r="BI118" s="743"/>
      <c r="BJ118" s="743"/>
      <c r="BK118" s="743"/>
      <c r="BL118" s="743"/>
      <c r="BM118" s="743"/>
      <c r="BN118" s="743"/>
      <c r="BO118" s="743"/>
      <c r="BP118" s="743"/>
      <c r="BQ118" s="743"/>
      <c r="BR118" s="743"/>
      <c r="BS118" s="743"/>
      <c r="BT118" s="743"/>
      <c r="BU118" s="743"/>
      <c r="BV118" s="743"/>
      <c r="BW118" s="743"/>
      <c r="BX118" s="743"/>
      <c r="BY118" s="743"/>
    </row>
    <row r="119" spans="2:77" x14ac:dyDescent="0.2">
      <c r="AX119" s="186"/>
    </row>
    <row r="147" spans="77:77" x14ac:dyDescent="0.2">
      <c r="BY147" s="504" t="s">
        <v>1155</v>
      </c>
    </row>
    <row r="163" spans="77:77" ht="10.15" customHeight="1" x14ac:dyDescent="0.2">
      <c r="BY163" s="363"/>
    </row>
  </sheetData>
  <sheetProtection sheet="1" selectLockedCells="1"/>
  <mergeCells count="73">
    <mergeCell ref="B91:BY91"/>
    <mergeCell ref="AS89:AY89"/>
    <mergeCell ref="AS74:AY74"/>
    <mergeCell ref="AS100:AY100"/>
    <mergeCell ref="AS103:AY103"/>
    <mergeCell ref="G77:BX79"/>
    <mergeCell ref="AS87:AY87"/>
    <mergeCell ref="G93:BY93"/>
    <mergeCell ref="C93:F93"/>
    <mergeCell ref="G94:BY94"/>
    <mergeCell ref="G92:BY92"/>
    <mergeCell ref="C94:E94"/>
    <mergeCell ref="C92:E92"/>
    <mergeCell ref="C77:E77"/>
    <mergeCell ref="B92:B95"/>
    <mergeCell ref="C95:BY95"/>
    <mergeCell ref="B114:B118"/>
    <mergeCell ref="C115:BY115"/>
    <mergeCell ref="C117:BY117"/>
    <mergeCell ref="E114:AX114"/>
    <mergeCell ref="E116:AX116"/>
    <mergeCell ref="E118:AT118"/>
    <mergeCell ref="AU118:BY118"/>
    <mergeCell ref="BJ114:BY114"/>
    <mergeCell ref="BJ116:BY116"/>
    <mergeCell ref="G109:BX110"/>
    <mergeCell ref="B105:BY105"/>
    <mergeCell ref="AZ114:BH114"/>
    <mergeCell ref="AZ116:BH116"/>
    <mergeCell ref="B111:BY111"/>
    <mergeCell ref="C106:E106"/>
    <mergeCell ref="C109:E109"/>
    <mergeCell ref="BY106:BY110"/>
    <mergeCell ref="C108:BX108"/>
    <mergeCell ref="C110:F110"/>
    <mergeCell ref="G106:BX106"/>
    <mergeCell ref="G107:BX107"/>
    <mergeCell ref="C107:F107"/>
    <mergeCell ref="B107:B110"/>
    <mergeCell ref="B112:BY112"/>
    <mergeCell ref="B113:BY113"/>
    <mergeCell ref="AG51:AQ51"/>
    <mergeCell ref="AW51:BG51"/>
    <mergeCell ref="AG37:AQ37"/>
    <mergeCell ref="AG41:AQ41"/>
    <mergeCell ref="AG47:AQ47"/>
    <mergeCell ref="AG45:AQ45"/>
    <mergeCell ref="C81:E81"/>
    <mergeCell ref="G81:BX82"/>
    <mergeCell ref="AG53:AQ53"/>
    <mergeCell ref="AG55:AQ55"/>
    <mergeCell ref="AS70:AY70"/>
    <mergeCell ref="AS72:AY72"/>
    <mergeCell ref="AS63:AU64"/>
    <mergeCell ref="AS66:AU68"/>
    <mergeCell ref="AV66:BQ68"/>
    <mergeCell ref="AV63:BL64"/>
    <mergeCell ref="B59:BY59"/>
    <mergeCell ref="B2:BY5"/>
    <mergeCell ref="B8:BY8"/>
    <mergeCell ref="AG43:AQ43"/>
    <mergeCell ref="AG49:AQ49"/>
    <mergeCell ref="AG23:BY23"/>
    <mergeCell ref="AG25:BY25"/>
    <mergeCell ref="AG11:BY11"/>
    <mergeCell ref="AG13:BY13"/>
    <mergeCell ref="AG15:AQ15"/>
    <mergeCell ref="AG19:BY19"/>
    <mergeCell ref="AG21:BY21"/>
    <mergeCell ref="AG27:AQ27"/>
    <mergeCell ref="AG31:AQ31"/>
    <mergeCell ref="AG33:AQ33"/>
    <mergeCell ref="AG35:AQ35"/>
  </mergeCells>
  <conditionalFormatting sqref="AT73:BD73 R72:AB72 R80:AB80">
    <cfRule type="expression" dxfId="92" priority="77">
      <formula>$BB$123&gt;$BB$121</formula>
    </cfRule>
  </conditionalFormatting>
  <conditionalFormatting sqref="BF73">
    <cfRule type="expression" dxfId="91" priority="75">
      <formula>$BB$123&gt;$BB$121</formula>
    </cfRule>
  </conditionalFormatting>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87" id="{AE48B9EC-8BA9-4305-AF09-258AC98526DE}">
            <xm:f>Daten!K79&gt;0</xm:f>
            <x14:dxf>
              <border>
                <bottom style="thin">
                  <color auto="1"/>
                </bottom>
                <vertical/>
                <horizontal/>
              </border>
            </x14:dxf>
          </x14:cfRule>
          <xm:sqref>AW51:BG51</xm:sqref>
        </x14:conditionalFormatting>
        <x14:conditionalFormatting xmlns:xm="http://schemas.microsoft.com/office/excel/2006/main">
          <x14:cfRule type="expression" priority="67" id="{32CB86C4-8DCF-4D81-ADBF-3A1E97E4B4A3}">
            <xm:f>Daten!E528=1</xm:f>
            <x14:dxf>
              <fill>
                <patternFill>
                  <bgColor theme="0" tint="-0.14996795556505021"/>
                </patternFill>
              </fill>
              <border>
                <left style="thin">
                  <color auto="1"/>
                </left>
                <right style="thin">
                  <color auto="1"/>
                </right>
                <top style="thin">
                  <color auto="1"/>
                </top>
                <vertical/>
                <horizontal/>
              </border>
            </x14:dxf>
          </x14:cfRule>
          <xm:sqref>B91:BY91</xm:sqref>
        </x14:conditionalFormatting>
        <x14:conditionalFormatting xmlns:xm="http://schemas.microsoft.com/office/excel/2006/main">
          <x14:cfRule type="expression" priority="66" id="{F7E62C59-F4F3-41E2-BDB7-2EADA7FA25A5}">
            <xm:f>Daten!E528=1</xm:f>
            <x14:dxf>
              <fill>
                <patternFill>
                  <bgColor theme="0" tint="-0.14996795556505021"/>
                </patternFill>
              </fill>
              <border>
                <left style="thin">
                  <color auto="1"/>
                </left>
                <bottom style="thin">
                  <color auto="1"/>
                </bottom>
                <vertical/>
                <horizontal/>
              </border>
            </x14:dxf>
          </x14:cfRule>
          <xm:sqref>B92:B95</xm:sqref>
        </x14:conditionalFormatting>
        <x14:conditionalFormatting xmlns:xm="http://schemas.microsoft.com/office/excel/2006/main">
          <x14:cfRule type="expression" priority="65" id="{B714C003-88EC-450B-9AF2-07799AFD8216}">
            <xm:f>Daten!E528=1</xm:f>
            <x14:dxf>
              <fill>
                <patternFill>
                  <bgColor theme="0" tint="-0.14996795556505021"/>
                </patternFill>
              </fill>
              <border>
                <right style="thin">
                  <color auto="1"/>
                </right>
                <bottom style="thin">
                  <color auto="1"/>
                </bottom>
                <vertical/>
                <horizontal/>
              </border>
            </x14:dxf>
          </x14:cfRule>
          <xm:sqref>C95:BY95</xm:sqref>
        </x14:conditionalFormatting>
        <x14:conditionalFormatting xmlns:xm="http://schemas.microsoft.com/office/excel/2006/main">
          <x14:cfRule type="expression" priority="64" id="{AB5AF808-902C-41DE-95C6-9A7EDAFF87BB}">
            <xm:f>Daten!E528=1</xm:f>
            <x14:dxf>
              <fill>
                <patternFill>
                  <bgColor theme="0" tint="-0.14996795556505021"/>
                </patternFill>
              </fill>
              <border>
                <right style="thin">
                  <color auto="1"/>
                </right>
                <vertical/>
                <horizontal/>
              </border>
            </x14:dxf>
          </x14:cfRule>
          <xm:sqref>G92:BY92</xm:sqref>
        </x14:conditionalFormatting>
        <x14:conditionalFormatting xmlns:xm="http://schemas.microsoft.com/office/excel/2006/main">
          <x14:cfRule type="expression" priority="63" id="{9CB20EDF-B96E-40FD-B993-04732DAB77C8}">
            <xm:f>Daten!E528=1</xm:f>
            <x14:dxf>
              <fill>
                <patternFill>
                  <bgColor theme="0" tint="-0.14996795556505021"/>
                </patternFill>
              </fill>
              <border>
                <right style="thin">
                  <color auto="1"/>
                </right>
                <vertical/>
                <horizontal/>
              </border>
            </x14:dxf>
          </x14:cfRule>
          <xm:sqref>G93:BY93</xm:sqref>
        </x14:conditionalFormatting>
        <x14:conditionalFormatting xmlns:xm="http://schemas.microsoft.com/office/excel/2006/main">
          <x14:cfRule type="expression" priority="62" id="{E747C7A9-C67A-4CDA-8ABF-DB6113ABBD2A}">
            <xm:f>Daten!E528=1</xm:f>
            <x14:dxf>
              <fill>
                <patternFill>
                  <bgColor theme="0" tint="-0.14996795556505021"/>
                </patternFill>
              </fill>
              <border>
                <right style="thin">
                  <color auto="1"/>
                </right>
                <vertical/>
                <horizontal/>
              </border>
            </x14:dxf>
          </x14:cfRule>
          <xm:sqref>G94:BY94</xm:sqref>
        </x14:conditionalFormatting>
        <x14:conditionalFormatting xmlns:xm="http://schemas.microsoft.com/office/excel/2006/main">
          <x14:cfRule type="expression" priority="61" id="{1365B53B-2BE9-472B-8033-6798A1BA8BF4}">
            <xm:f>Daten!E528=1</xm:f>
            <x14:dxf>
              <fill>
                <patternFill>
                  <bgColor theme="0" tint="-0.14996795556505021"/>
                </patternFill>
              </fill>
            </x14:dxf>
          </x14:cfRule>
          <xm:sqref>C93:F93</xm:sqref>
        </x14:conditionalFormatting>
        <x14:conditionalFormatting xmlns:xm="http://schemas.microsoft.com/office/excel/2006/main">
          <x14:cfRule type="expression" priority="60" id="{F24B5047-6F75-46F3-8C21-A8108BFE719A}">
            <xm:f>Daten!E528=1</xm:f>
            <x14:dxf>
              <fill>
                <patternFill>
                  <bgColor theme="0" tint="-0.14996795556505021"/>
                </patternFill>
              </fill>
            </x14:dxf>
          </x14:cfRule>
          <xm:sqref>F92</xm:sqref>
        </x14:conditionalFormatting>
        <x14:conditionalFormatting xmlns:xm="http://schemas.microsoft.com/office/excel/2006/main">
          <x14:cfRule type="expression" priority="59" id="{3005D960-E19F-49B9-8D00-074FAE04A726}">
            <xm:f>Daten!E528=1</xm:f>
            <x14:dxf>
              <fill>
                <patternFill>
                  <bgColor theme="0" tint="-0.14996795556505021"/>
                </patternFill>
              </fill>
            </x14:dxf>
          </x14:cfRule>
          <xm:sqref>F94</xm:sqref>
        </x14:conditionalFormatting>
        <x14:conditionalFormatting xmlns:xm="http://schemas.microsoft.com/office/excel/2006/main">
          <x14:cfRule type="expression" priority="58" id="{301E5BCB-22DE-4EC4-815E-4854CF567724}">
            <xm:f>Daten!E528=1</xm:f>
            <x14:dxf>
              <border>
                <left style="thin">
                  <color auto="1"/>
                </left>
                <right style="thin">
                  <color auto="1"/>
                </right>
                <top style="thin">
                  <color auto="1"/>
                </top>
                <bottom style="thin">
                  <color auto="1"/>
                </bottom>
                <vertical/>
                <horizontal/>
              </border>
            </x14:dxf>
          </x14:cfRule>
          <xm:sqref>C92:E92</xm:sqref>
        </x14:conditionalFormatting>
        <x14:conditionalFormatting xmlns:xm="http://schemas.microsoft.com/office/excel/2006/main">
          <x14:cfRule type="expression" priority="57" id="{C5E55CAE-8DD6-4EE1-AA12-0AB37346F8B1}">
            <xm:f>Daten!E528=1</xm:f>
            <x14:dxf>
              <border>
                <left style="thin">
                  <color auto="1"/>
                </left>
                <right style="thin">
                  <color auto="1"/>
                </right>
                <top style="thin">
                  <color auto="1"/>
                </top>
                <bottom style="thin">
                  <color auto="1"/>
                </bottom>
                <vertical/>
                <horizontal/>
              </border>
            </x14:dxf>
          </x14:cfRule>
          <xm:sqref>C94:E94</xm:sqref>
        </x14:conditionalFormatting>
        <x14:conditionalFormatting xmlns:xm="http://schemas.microsoft.com/office/excel/2006/main">
          <x14:cfRule type="expression" priority="56" id="{53396DCB-94C5-4AD7-93EC-EF0403350652}">
            <xm:f>Daten!E528=1</xm:f>
            <x14:dxf>
              <fill>
                <patternFill>
                  <bgColor theme="0" tint="-0.14996795556505021"/>
                </patternFill>
              </fill>
              <border>
                <left style="thin">
                  <color auto="1"/>
                </left>
                <right style="thin">
                  <color auto="1"/>
                </right>
                <top style="thin">
                  <color auto="1"/>
                </top>
                <vertical/>
                <horizontal/>
              </border>
            </x14:dxf>
          </x14:cfRule>
          <xm:sqref>B105:BY105</xm:sqref>
        </x14:conditionalFormatting>
        <x14:conditionalFormatting xmlns:xm="http://schemas.microsoft.com/office/excel/2006/main">
          <x14:cfRule type="expression" priority="55" id="{AF376E0B-DF24-40AA-B75C-47953AEE73A3}">
            <xm:f>Daten!E528=1</xm:f>
            <x14:dxf>
              <fill>
                <patternFill>
                  <bgColor theme="0" tint="-0.14996795556505021"/>
                </patternFill>
              </fill>
              <border>
                <left style="thin">
                  <color auto="1"/>
                </left>
                <bottom/>
                <vertical/>
                <horizontal/>
              </border>
            </x14:dxf>
          </x14:cfRule>
          <xm:sqref>B106:B107</xm:sqref>
        </x14:conditionalFormatting>
        <x14:conditionalFormatting xmlns:xm="http://schemas.microsoft.com/office/excel/2006/main">
          <x14:cfRule type="expression" priority="54" id="{DD54610C-76C1-40DB-8239-7D4696188E03}">
            <xm:f>Daten!E528=1</xm:f>
            <x14:dxf>
              <fill>
                <patternFill>
                  <bgColor theme="0" tint="-0.14996795556505021"/>
                </patternFill>
              </fill>
              <border>
                <bottom style="thin">
                  <color auto="1"/>
                </bottom>
                <vertical/>
                <horizontal/>
              </border>
            </x14:dxf>
          </x14:cfRule>
          <xm:sqref>C110:F110</xm:sqref>
        </x14:conditionalFormatting>
        <x14:conditionalFormatting xmlns:xm="http://schemas.microsoft.com/office/excel/2006/main">
          <x14:cfRule type="expression" priority="43" id="{B1DBA8A6-A6B6-4BB4-8364-D447F38F4A78}">
            <xm:f>AND(Daten!P514=1,Daten!E528=1)</xm:f>
            <x14:dxf>
              <font>
                <b/>
                <i val="0"/>
                <color rgb="FFFF0000"/>
              </font>
              <fill>
                <patternFill>
                  <bgColor theme="0" tint="-0.14996795556505021"/>
                </patternFill>
              </fill>
              <border>
                <right/>
                <bottom style="thin">
                  <color auto="1"/>
                </bottom>
                <vertical/>
                <horizontal/>
              </border>
            </x14:dxf>
          </x14:cfRule>
          <x14:cfRule type="expression" priority="53" id="{A39595F5-8AEA-4C32-AC30-0F05FF6256B5}">
            <xm:f>Daten!E528=1</xm:f>
            <x14:dxf>
              <font>
                <b val="0"/>
                <i val="0"/>
              </font>
              <fill>
                <patternFill>
                  <bgColor theme="0" tint="-0.14996795556505021"/>
                </patternFill>
              </fill>
              <border>
                <bottom style="thin">
                  <color auto="1"/>
                </bottom>
                <vertical/>
                <horizontal/>
              </border>
            </x14:dxf>
          </x14:cfRule>
          <xm:sqref>G109:BX110</xm:sqref>
        </x14:conditionalFormatting>
        <x14:conditionalFormatting xmlns:xm="http://schemas.microsoft.com/office/excel/2006/main">
          <x14:cfRule type="expression" priority="52" id="{F6B90A74-AA1B-494F-B386-69FD307A86D4}">
            <xm:f>Daten!E528=1</xm:f>
            <x14:dxf>
              <fill>
                <patternFill>
                  <bgColor theme="0" tint="-0.14996795556505021"/>
                </patternFill>
              </fill>
            </x14:dxf>
          </x14:cfRule>
          <xm:sqref>F109</xm:sqref>
        </x14:conditionalFormatting>
        <x14:conditionalFormatting xmlns:xm="http://schemas.microsoft.com/office/excel/2006/main">
          <x14:cfRule type="expression" priority="51" id="{2EFBBAE5-1F02-43C9-9C02-AAAD244871CA}">
            <xm:f>Daten!E528=1</xm:f>
            <x14:dxf>
              <fill>
                <patternFill>
                  <bgColor theme="0" tint="-0.14996795556505021"/>
                </patternFill>
              </fill>
            </x14:dxf>
          </x14:cfRule>
          <xm:sqref>F106</xm:sqref>
        </x14:conditionalFormatting>
        <x14:conditionalFormatting xmlns:xm="http://schemas.microsoft.com/office/excel/2006/main">
          <x14:cfRule type="expression" priority="50" id="{C7AD43CE-63E5-4954-9679-650D864AE743}">
            <xm:f>Daten!E528=1</xm:f>
            <x14:dxf>
              <fill>
                <patternFill>
                  <bgColor theme="0" tint="-0.14996795556505021"/>
                </patternFill>
              </fill>
            </x14:dxf>
          </x14:cfRule>
          <xm:sqref>C108:BX108</xm:sqref>
        </x14:conditionalFormatting>
        <x14:conditionalFormatting xmlns:xm="http://schemas.microsoft.com/office/excel/2006/main">
          <x14:cfRule type="expression" priority="47" id="{E6863505-29D9-4D8A-8B59-07F838E2EAF9}">
            <xm:f>Daten!E528=1</xm:f>
            <x14:dxf>
              <border>
                <left style="thin">
                  <color auto="1"/>
                </left>
                <right style="thin">
                  <color auto="1"/>
                </right>
                <top style="thin">
                  <color auto="1"/>
                </top>
                <bottom style="thin">
                  <color auto="1"/>
                </bottom>
                <vertical/>
                <horizontal/>
              </border>
            </x14:dxf>
          </x14:cfRule>
          <xm:sqref>C106:E106 C107</xm:sqref>
        </x14:conditionalFormatting>
        <x14:conditionalFormatting xmlns:xm="http://schemas.microsoft.com/office/excel/2006/main">
          <x14:cfRule type="expression" priority="46" id="{EB0CC153-921B-4282-83E7-8BEC624A217A}">
            <xm:f>Daten!E528=1</xm:f>
            <x14:dxf>
              <border>
                <left style="thin">
                  <color auto="1"/>
                </left>
                <right style="thin">
                  <color auto="1"/>
                </right>
                <top style="thin">
                  <color auto="1"/>
                </top>
                <bottom style="thin">
                  <color auto="1"/>
                </bottom>
                <vertical/>
                <horizontal/>
              </border>
            </x14:dxf>
          </x14:cfRule>
          <xm:sqref>C109:E109</xm:sqref>
        </x14:conditionalFormatting>
        <x14:conditionalFormatting xmlns:xm="http://schemas.microsoft.com/office/excel/2006/main">
          <x14:cfRule type="expression" priority="13" id="{0A909599-FF85-4BF2-B5CF-299949884D21}">
            <xm:f>Daten!E528=1</xm:f>
            <x14:dxf>
              <font>
                <color rgb="FFFF0000"/>
              </font>
            </x14:dxf>
          </x14:cfRule>
          <x14:cfRule type="expression" priority="45" id="{88073A27-F84B-4093-96BE-E711B1EFC753}">
            <xm:f>Daten!E528=0</xm:f>
            <x14:dxf>
              <font>
                <color theme="9" tint="-0.24994659260841701"/>
              </font>
            </x14:dxf>
          </x14:cfRule>
          <xm:sqref>B74</xm:sqref>
        </x14:conditionalFormatting>
        <x14:conditionalFormatting xmlns:xm="http://schemas.microsoft.com/office/excel/2006/main">
          <x14:cfRule type="expression" priority="44" id="{08941513-4087-42F0-A3D6-A301BC1C023E}">
            <xm:f>Daten!G528=0</xm:f>
            <x14:dxf>
              <font>
                <color theme="9" tint="-0.24994659260841701"/>
              </font>
            </x14:dxf>
          </x14:cfRule>
          <xm:sqref>BB74:BH74</xm:sqref>
        </x14:conditionalFormatting>
        <x14:conditionalFormatting xmlns:xm="http://schemas.microsoft.com/office/excel/2006/main">
          <x14:cfRule type="expression" priority="41" id="{A090012A-F6E5-49AE-BAA1-D3E62B521769}">
            <xm:f>AND(Daten!P514=1,Daten!E528=1)</xm:f>
            <x14:dxf>
              <fill>
                <patternFill>
                  <bgColor theme="7" tint="0.59996337778862885"/>
                </patternFill>
              </fill>
            </x14:dxf>
          </x14:cfRule>
          <xm:sqref>B112:BY112</xm:sqref>
        </x14:conditionalFormatting>
        <x14:conditionalFormatting xmlns:xm="http://schemas.microsoft.com/office/excel/2006/main">
          <x14:cfRule type="expression" priority="40" id="{49871A3A-FD8A-4D7C-9634-030AC6734608}">
            <xm:f>AND(Daten!P514=1,Daten!E528=1)</xm:f>
            <x14:dxf>
              <fill>
                <patternFill>
                  <bgColor theme="7" tint="0.59996337778862885"/>
                </patternFill>
              </fill>
            </x14:dxf>
          </x14:cfRule>
          <xm:sqref>B113:BY113</xm:sqref>
        </x14:conditionalFormatting>
        <x14:conditionalFormatting xmlns:xm="http://schemas.microsoft.com/office/excel/2006/main">
          <x14:cfRule type="expression" priority="39" id="{3BA6DF2B-9035-4520-AE1A-1422C38A99AF}">
            <xm:f>AND(Daten!P514=1,Daten!E528=1)</xm:f>
            <x14:dxf>
              <fill>
                <patternFill>
                  <bgColor theme="7" tint="0.59996337778862885"/>
                </patternFill>
              </fill>
            </x14:dxf>
          </x14:cfRule>
          <xm:sqref>B114:B118</xm:sqref>
        </x14:conditionalFormatting>
        <x14:conditionalFormatting xmlns:xm="http://schemas.microsoft.com/office/excel/2006/main">
          <x14:cfRule type="expression" priority="38" id="{C4C3BBEC-2CD5-4AAA-9776-F2F70076621F}">
            <xm:f>AND(Daten!P514=1,Daten!E528=1)</xm:f>
            <x14:dxf>
              <fill>
                <patternFill>
                  <bgColor theme="7" tint="0.59996337778862885"/>
                </patternFill>
              </fill>
            </x14:dxf>
          </x14:cfRule>
          <xm:sqref>C114</xm:sqref>
        </x14:conditionalFormatting>
        <x14:conditionalFormatting xmlns:xm="http://schemas.microsoft.com/office/excel/2006/main">
          <x14:cfRule type="expression" priority="37" id="{6527CC41-1771-4074-904D-3FCD2DA4C8B9}">
            <xm:f>AND(Daten!P514=1,Daten!E528=1)</xm:f>
            <x14:dxf>
              <fill>
                <patternFill>
                  <bgColor theme="7" tint="0.59996337778862885"/>
                </patternFill>
              </fill>
            </x14:dxf>
          </x14:cfRule>
          <xm:sqref>C115:BY115</xm:sqref>
        </x14:conditionalFormatting>
        <x14:conditionalFormatting xmlns:xm="http://schemas.microsoft.com/office/excel/2006/main">
          <x14:cfRule type="expression" priority="36" id="{C0CF962C-6F70-4608-B189-A15C679ED480}">
            <xm:f>AND(Daten!P514=1,Daten!E528=1)</xm:f>
            <x14:dxf>
              <fill>
                <patternFill>
                  <bgColor theme="7" tint="0.59996337778862885"/>
                </patternFill>
              </fill>
            </x14:dxf>
          </x14:cfRule>
          <xm:sqref>C117:BY117</xm:sqref>
        </x14:conditionalFormatting>
        <x14:conditionalFormatting xmlns:xm="http://schemas.microsoft.com/office/excel/2006/main">
          <x14:cfRule type="expression" priority="35" id="{B0E8B7D5-C37A-4B5B-8612-FE1C0225D2AE}">
            <xm:f>AND(Daten!P514=1,Daten!E528=1)</xm:f>
            <x14:dxf>
              <fill>
                <patternFill>
                  <bgColor theme="7" tint="0.59996337778862885"/>
                </patternFill>
              </fill>
            </x14:dxf>
          </x14:cfRule>
          <xm:sqref>C118</xm:sqref>
        </x14:conditionalFormatting>
        <x14:conditionalFormatting xmlns:xm="http://schemas.microsoft.com/office/excel/2006/main">
          <x14:cfRule type="expression" priority="34" id="{33C3EAAB-0070-4A8C-A56C-4B8AA3E328AE}">
            <xm:f>AND(Daten!P514=1,Daten!E528=1)</xm:f>
            <x14:dxf>
              <fill>
                <patternFill>
                  <bgColor theme="7" tint="0.59996337778862885"/>
                </patternFill>
              </fill>
            </x14:dxf>
          </x14:cfRule>
          <xm:sqref>D118</xm:sqref>
        </x14:conditionalFormatting>
        <x14:conditionalFormatting xmlns:xm="http://schemas.microsoft.com/office/excel/2006/main">
          <x14:cfRule type="expression" priority="33" id="{414FCF56-FA18-46F6-903B-07A3B455A709}">
            <xm:f>AND(Daten!P514=1,Daten!E528=1)</xm:f>
            <x14:dxf>
              <fill>
                <patternFill>
                  <bgColor theme="7" tint="0.59996337778862885"/>
                </patternFill>
              </fill>
            </x14:dxf>
          </x14:cfRule>
          <xm:sqref>E118:AT118</xm:sqref>
        </x14:conditionalFormatting>
        <x14:conditionalFormatting xmlns:xm="http://schemas.microsoft.com/office/excel/2006/main">
          <x14:cfRule type="expression" priority="32" id="{C9E43F17-58F2-479E-86A9-09F5C75CA845}">
            <xm:f>AND(Daten!P514=1,Daten!E528=1)</xm:f>
            <x14:dxf>
              <fill>
                <patternFill>
                  <bgColor theme="7" tint="0.59996337778862885"/>
                </patternFill>
              </fill>
            </x14:dxf>
          </x14:cfRule>
          <xm:sqref>AU118:BY118</xm:sqref>
        </x14:conditionalFormatting>
        <x14:conditionalFormatting xmlns:xm="http://schemas.microsoft.com/office/excel/2006/main">
          <x14:cfRule type="expression" priority="31" id="{E0F6CDA3-6FCE-4447-823D-FD804838149B}">
            <xm:f>AND(Daten!P514=1,Daten!E528=1)</xm:f>
            <x14:dxf>
              <fill>
                <patternFill>
                  <bgColor theme="7" tint="0.59996337778862885"/>
                </patternFill>
              </fill>
            </x14:dxf>
          </x14:cfRule>
          <xm:sqref>E116:AX116</xm:sqref>
        </x14:conditionalFormatting>
        <x14:conditionalFormatting xmlns:xm="http://schemas.microsoft.com/office/excel/2006/main">
          <x14:cfRule type="expression" priority="30" id="{4F19BAD3-B7C8-43A1-B0DC-5AC03D8FAD52}">
            <xm:f>AND(Daten!P514=1,Daten!E528=1)</xm:f>
            <x14:dxf>
              <fill>
                <patternFill>
                  <bgColor theme="7" tint="0.59996337778862885"/>
                </patternFill>
              </fill>
            </x14:dxf>
          </x14:cfRule>
          <xm:sqref>E114:AX114</xm:sqref>
        </x14:conditionalFormatting>
        <x14:conditionalFormatting xmlns:xm="http://schemas.microsoft.com/office/excel/2006/main">
          <x14:cfRule type="expression" priority="29" id="{7F4DF7A9-76CA-4ABF-A5CF-337959494817}">
            <xm:f>AND(Daten!P514=1,Daten!E528=1)</xm:f>
            <x14:dxf>
              <fill>
                <patternFill>
                  <bgColor theme="7" tint="0.59996337778862885"/>
                </patternFill>
              </fill>
            </x14:dxf>
          </x14:cfRule>
          <xm:sqref>AZ114:BH114</xm:sqref>
        </x14:conditionalFormatting>
        <x14:conditionalFormatting xmlns:xm="http://schemas.microsoft.com/office/excel/2006/main">
          <x14:cfRule type="expression" priority="28" id="{9F03007D-599D-4DE4-9993-BB4DD9A6AEAA}">
            <xm:f>AND(Daten!P514=1,Daten!E528=1)</xm:f>
            <x14:dxf>
              <fill>
                <patternFill>
                  <bgColor theme="7" tint="0.59996337778862885"/>
                </patternFill>
              </fill>
            </x14:dxf>
          </x14:cfRule>
          <xm:sqref>AZ116:BH116</xm:sqref>
        </x14:conditionalFormatting>
        <x14:conditionalFormatting xmlns:xm="http://schemas.microsoft.com/office/excel/2006/main">
          <x14:cfRule type="expression" priority="27" id="{C290B013-4697-4B49-B858-940A7793C745}">
            <xm:f>AND(Daten!P514=1,Daten!E528=1)</xm:f>
            <x14:dxf>
              <fill>
                <patternFill>
                  <bgColor theme="7" tint="0.59996337778862885"/>
                </patternFill>
              </fill>
            </x14:dxf>
          </x14:cfRule>
          <xm:sqref>BJ114:BY114</xm:sqref>
        </x14:conditionalFormatting>
        <x14:conditionalFormatting xmlns:xm="http://schemas.microsoft.com/office/excel/2006/main">
          <x14:cfRule type="expression" priority="26" id="{9DF45DBB-071C-46A6-89DA-5CC0C06DDDEE}">
            <xm:f>AND(Daten!P514=1,Daten!E528=1)</xm:f>
            <x14:dxf>
              <fill>
                <patternFill>
                  <bgColor theme="7" tint="0.59996337778862885"/>
                </patternFill>
              </fill>
            </x14:dxf>
          </x14:cfRule>
          <xm:sqref>BJ116:BY116</xm:sqref>
        </x14:conditionalFormatting>
        <x14:conditionalFormatting xmlns:xm="http://schemas.microsoft.com/office/excel/2006/main">
          <x14:cfRule type="expression" priority="25" id="{0908554C-E387-4B69-AB4A-496FD2A7D9A3}">
            <xm:f>AND(Daten!P514=1,Daten!E528=1)</xm:f>
            <x14:dxf>
              <fill>
                <patternFill>
                  <bgColor theme="7" tint="0.59996337778862885"/>
                </patternFill>
              </fill>
            </x14:dxf>
          </x14:cfRule>
          <xm:sqref>D116</xm:sqref>
        </x14:conditionalFormatting>
        <x14:conditionalFormatting xmlns:xm="http://schemas.microsoft.com/office/excel/2006/main">
          <x14:cfRule type="expression" priority="24" id="{E9013C91-6371-4BD2-8882-F629D237AE58}">
            <xm:f>AND(Daten!P514=1,Daten!E528=1)</xm:f>
            <x14:dxf>
              <fill>
                <patternFill>
                  <bgColor theme="7" tint="0.59996337778862885"/>
                </patternFill>
              </fill>
            </x14:dxf>
          </x14:cfRule>
          <xm:sqref>D114</xm:sqref>
        </x14:conditionalFormatting>
        <x14:conditionalFormatting xmlns:xm="http://schemas.microsoft.com/office/excel/2006/main">
          <x14:cfRule type="expression" priority="23" id="{3F15C863-6EC7-4C6C-8661-9D63B202F6C9}">
            <xm:f>AND(Daten!P514=1,Daten!E528=1)</xm:f>
            <x14:dxf>
              <fill>
                <patternFill>
                  <bgColor theme="7" tint="0.59996337778862885"/>
                </patternFill>
              </fill>
            </x14:dxf>
          </x14:cfRule>
          <xm:sqref>C116</xm:sqref>
        </x14:conditionalFormatting>
        <x14:conditionalFormatting xmlns:xm="http://schemas.microsoft.com/office/excel/2006/main">
          <x14:cfRule type="expression" priority="22" id="{6D226C3B-BA5E-4AC2-8122-0E352463AEBB}">
            <xm:f>AND(Daten!P514=1,Daten!E528=1)</xm:f>
            <x14:dxf>
              <fill>
                <patternFill>
                  <bgColor theme="7" tint="0.59996337778862885"/>
                </patternFill>
              </fill>
            </x14:dxf>
          </x14:cfRule>
          <xm:sqref>AY114</xm:sqref>
        </x14:conditionalFormatting>
        <x14:conditionalFormatting xmlns:xm="http://schemas.microsoft.com/office/excel/2006/main">
          <x14:cfRule type="expression" priority="21" id="{80284C19-8776-4F46-8E0A-A06E80D15C5D}">
            <xm:f>AND(Daten!P514=1,Daten!E528=1)</xm:f>
            <x14:dxf>
              <fill>
                <patternFill>
                  <bgColor theme="7" tint="0.59996337778862885"/>
                </patternFill>
              </fill>
            </x14:dxf>
          </x14:cfRule>
          <xm:sqref>AY116</xm:sqref>
        </x14:conditionalFormatting>
        <x14:conditionalFormatting xmlns:xm="http://schemas.microsoft.com/office/excel/2006/main">
          <x14:cfRule type="expression" priority="20" id="{FD21F0A5-EFB8-4B3A-AF54-244A0187B565}">
            <xm:f>AND(Daten!P514=1,Daten!E528=1)</xm:f>
            <x14:dxf>
              <fill>
                <patternFill>
                  <bgColor theme="7" tint="0.59996337778862885"/>
                </patternFill>
              </fill>
            </x14:dxf>
          </x14:cfRule>
          <xm:sqref>BI114</xm:sqref>
        </x14:conditionalFormatting>
        <x14:conditionalFormatting xmlns:xm="http://schemas.microsoft.com/office/excel/2006/main">
          <x14:cfRule type="expression" priority="19" id="{6BEA4562-9D93-4B07-865C-CB49A80EF39F}">
            <xm:f>AND(Daten!P514=1,Daten!E528=1)</xm:f>
            <x14:dxf>
              <fill>
                <patternFill>
                  <bgColor theme="7" tint="0.59996337778862885"/>
                </patternFill>
              </fill>
            </x14:dxf>
          </x14:cfRule>
          <xm:sqref>BI116</xm:sqref>
        </x14:conditionalFormatting>
        <x14:conditionalFormatting xmlns:xm="http://schemas.microsoft.com/office/excel/2006/main">
          <x14:cfRule type="expression" priority="228" id="{08941513-4087-42F0-A3D6-A301BC1C023E}">
            <xm:f>Daten!E528=0</xm:f>
            <x14:dxf>
              <font>
                <color theme="9" tint="-0.24994659260841701"/>
              </font>
            </x14:dxf>
          </x14:cfRule>
          <xm:sqref>AS74</xm:sqref>
        </x14:conditionalFormatting>
        <x14:conditionalFormatting xmlns:xm="http://schemas.microsoft.com/office/excel/2006/main">
          <x14:cfRule type="expression" priority="11" id="{5988E50C-2A13-41C5-895C-52D522A4DF97}">
            <xm:f>Daten!E528=1</xm:f>
            <x14:dxf>
              <font>
                <color rgb="FFFF0000"/>
              </font>
            </x14:dxf>
          </x14:cfRule>
          <x14:cfRule type="expression" priority="18" id="{C660D8C3-7B2E-4162-B8E0-535873B32C7E}">
            <xm:f>Daten!E528=0</xm:f>
            <x14:dxf>
              <font>
                <b/>
                <i val="0"/>
                <color theme="9" tint="-0.24994659260841701"/>
              </font>
            </x14:dxf>
          </x14:cfRule>
          <xm:sqref>BA74</xm:sqref>
        </x14:conditionalFormatting>
        <x14:conditionalFormatting xmlns:xm="http://schemas.microsoft.com/office/excel/2006/main">
          <x14:cfRule type="expression" priority="16" id="{8A62C5B8-3E17-403D-9E31-BED2B23FAF5B}">
            <xm:f>Daten!$E$523=0</xm:f>
            <x14:dxf>
              <font>
                <color theme="9" tint="-0.24994659260841701"/>
              </font>
              <fill>
                <patternFill>
                  <bgColor theme="0"/>
                </patternFill>
              </fill>
            </x14:dxf>
          </x14:cfRule>
          <x14:cfRule type="expression" priority="17" id="{0E9F1781-7C62-4D28-9B11-8B0D5EDC8E4C}">
            <xm:f>Daten!$E$523=1</xm:f>
            <x14:dxf>
              <font>
                <color rgb="FFFF4343"/>
              </font>
              <fill>
                <patternFill patternType="solid">
                  <bgColor theme="0"/>
                </patternFill>
              </fill>
            </x14:dxf>
          </x14:cfRule>
          <xm:sqref>AV63 BN63:BY63 BM64:BY64</xm:sqref>
        </x14:conditionalFormatting>
        <x14:conditionalFormatting xmlns:xm="http://schemas.microsoft.com/office/excel/2006/main">
          <x14:cfRule type="expression" priority="14" id="{4E40C879-870B-4417-945E-F783F4717900}">
            <xm:f>Daten!$E$524=0</xm:f>
            <x14:dxf>
              <font>
                <color theme="9" tint="-0.24994659260841701"/>
              </font>
            </x14:dxf>
          </x14:cfRule>
          <x14:cfRule type="expression" priority="15" id="{E04595F8-CC09-451F-B21F-C0C2B2646A1C}">
            <xm:f>Daten!$E$524=1</xm:f>
            <x14:dxf>
              <font>
                <color rgb="FFFF4343"/>
              </font>
            </x14:dxf>
          </x14:cfRule>
          <xm:sqref>AV66 BY66:BY68</xm:sqref>
        </x14:conditionalFormatting>
        <x14:conditionalFormatting xmlns:xm="http://schemas.microsoft.com/office/excel/2006/main">
          <x14:cfRule type="expression" priority="12" id="{1AB6BBBB-A3EE-4309-9E4A-EBF40E0377F5}">
            <xm:f>Daten!E528=1</xm:f>
            <x14:dxf>
              <font>
                <color rgb="FFFF0000"/>
              </font>
            </x14:dxf>
          </x14:cfRule>
          <xm:sqref>AS74:AY74</xm:sqref>
        </x14:conditionalFormatting>
        <x14:conditionalFormatting xmlns:xm="http://schemas.microsoft.com/office/excel/2006/main">
          <x14:cfRule type="expression" priority="1" id="{B51A0C2F-DD48-4CD4-9479-FF80BFF46A2D}">
            <xm:f>AND(Daten!E528=1,Daten!P514=1)</xm:f>
            <x14:dxf>
              <fill>
                <patternFill>
                  <bgColor theme="0" tint="-0.14996795556505021"/>
                </patternFill>
              </fill>
            </x14:dxf>
          </x14:cfRule>
          <x14:cfRule type="expression" priority="10" id="{2962B608-F6D2-47EB-886E-1A06C5587634}">
            <xm:f>AND(Daten!E528=1,Daten!P514=0)</xm:f>
            <x14:dxf>
              <font>
                <b/>
                <i val="0"/>
                <color theme="9" tint="-0.24994659260841701"/>
              </font>
              <fill>
                <patternFill>
                  <bgColor theme="0" tint="-0.14996795556505021"/>
                </patternFill>
              </fill>
            </x14:dxf>
          </x14:cfRule>
          <xm:sqref>G107:BX107</xm:sqref>
        </x14:conditionalFormatting>
        <x14:conditionalFormatting xmlns:xm="http://schemas.microsoft.com/office/excel/2006/main">
          <x14:cfRule type="expression" priority="3" id="{BFA04C09-6792-4D24-9304-6275066ADF7E}">
            <xm:f>AND(Daten!E528=1,Daten!P514=0)</xm:f>
            <x14:dxf>
              <font>
                <b/>
                <i val="0"/>
                <color theme="9" tint="-0.24994659260841701"/>
              </font>
            </x14:dxf>
          </x14:cfRule>
          <x14:cfRule type="expression" priority="8" id="{1B64E868-C995-4C27-A69C-6B1C8D18E9C7}">
            <xm:f>Daten!E528=1</xm:f>
            <x14:dxf>
              <fill>
                <patternFill>
                  <bgColor theme="0" tint="-0.14996795556505021"/>
                </patternFill>
              </fill>
            </x14:dxf>
          </x14:cfRule>
          <xm:sqref>G106:BX106</xm:sqref>
        </x14:conditionalFormatting>
        <x14:conditionalFormatting xmlns:xm="http://schemas.microsoft.com/office/excel/2006/main">
          <x14:cfRule type="expression" priority="7" id="{940DBEC4-A69A-4852-876E-E0F5351CAB06}">
            <xm:f>Daten!E528=1</xm:f>
            <x14:dxf>
              <fill>
                <patternFill>
                  <bgColor theme="0" tint="-0.14996795556505021"/>
                </patternFill>
              </fill>
            </x14:dxf>
          </x14:cfRule>
          <xm:sqref>C107:F107</xm:sqref>
        </x14:conditionalFormatting>
        <x14:conditionalFormatting xmlns:xm="http://schemas.microsoft.com/office/excel/2006/main">
          <x14:cfRule type="expression" priority="6" id="{D0573581-A54A-4DE5-9BAB-7D887FB90764}">
            <xm:f>Daten!E528=1</xm:f>
            <x14:dxf>
              <fill>
                <patternFill>
                  <bgColor theme="0" tint="-0.14996795556505021"/>
                </patternFill>
              </fill>
              <border>
                <left style="thin">
                  <color auto="1"/>
                </left>
                <bottom style="thin">
                  <color auto="1"/>
                </bottom>
                <vertical/>
                <horizontal/>
              </border>
            </x14:dxf>
          </x14:cfRule>
          <xm:sqref>B107:B110</xm:sqref>
        </x14:conditionalFormatting>
        <x14:conditionalFormatting xmlns:xm="http://schemas.microsoft.com/office/excel/2006/main">
          <x14:cfRule type="expression" priority="4" id="{259E938F-62F0-4DA4-94E1-34E6EEBB250C}">
            <xm:f>Daten!E528=1</xm:f>
            <x14:dxf>
              <fill>
                <patternFill>
                  <bgColor theme="0" tint="-0.14996795556505021"/>
                </patternFill>
              </fill>
              <border>
                <right style="thin">
                  <color auto="1"/>
                </right>
                <bottom style="thin">
                  <color auto="1"/>
                </bottom>
                <vertical/>
                <horizontal/>
              </border>
            </x14:dxf>
          </x14:cfRule>
          <xm:sqref>BY106:BY110</xm:sqref>
        </x14:conditionalFormatting>
        <x14:conditionalFormatting xmlns:xm="http://schemas.microsoft.com/office/excel/2006/main">
          <x14:cfRule type="expression" priority="2" id="{84B5252F-6BBA-4912-A6F2-8A8BA1A4AA17}">
            <xm:f>Daten!E528=1</xm:f>
            <x14:dxf>
              <font>
                <b/>
                <i val="0"/>
              </font>
              <fill>
                <patternFill>
                  <bgColor theme="0" tint="-0.14996795556505021"/>
                </patternFill>
              </fill>
            </x14:dxf>
          </x14:cfRule>
          <xm:sqref>G81:BX82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B1:CA192"/>
  <sheetViews>
    <sheetView zoomScale="160" zoomScaleNormal="160" workbookViewId="0">
      <selection activeCell="B93" sqref="B93"/>
    </sheetView>
  </sheetViews>
  <sheetFormatPr baseColWidth="10" defaultColWidth="11.42578125" defaultRowHeight="12" x14ac:dyDescent="0.2"/>
  <cols>
    <col min="1" max="1" width="11.42578125" style="363"/>
    <col min="2" max="2" width="1.140625" style="184" customWidth="1"/>
    <col min="3" max="31" width="1.140625" style="363" customWidth="1"/>
    <col min="32" max="33" width="1.140625" style="184" customWidth="1"/>
    <col min="34" max="42" width="1.140625" style="363" customWidth="1"/>
    <col min="43" max="55" width="1.140625" style="184" customWidth="1"/>
    <col min="56" max="76" width="1.140625" style="363" customWidth="1"/>
    <col min="77" max="77" width="1.140625" style="184" customWidth="1"/>
    <col min="78" max="78" width="0.28515625" style="363" customWidth="1"/>
    <col min="79" max="16384" width="11.42578125" style="363"/>
  </cols>
  <sheetData>
    <row r="1" spans="2:77" ht="37.5" customHeight="1" x14ac:dyDescent="0.4">
      <c r="S1" s="390" t="s">
        <v>1149</v>
      </c>
    </row>
    <row r="2" spans="2:77" ht="28.5" customHeight="1" x14ac:dyDescent="0.4">
      <c r="B2" s="722" t="s">
        <v>1150</v>
      </c>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c r="AW2" s="722"/>
      <c r="AX2" s="722"/>
      <c r="AY2" s="722"/>
      <c r="AZ2" s="722"/>
      <c r="BA2" s="722"/>
      <c r="BB2" s="722"/>
      <c r="BC2" s="722"/>
      <c r="BD2" s="722"/>
      <c r="BE2" s="722"/>
      <c r="BF2" s="722"/>
      <c r="BG2" s="722"/>
      <c r="BH2" s="722"/>
      <c r="BI2" s="722"/>
      <c r="BJ2" s="722"/>
      <c r="BK2" s="722"/>
      <c r="BL2" s="722"/>
      <c r="BM2" s="722"/>
      <c r="BN2" s="722"/>
      <c r="BO2" s="722"/>
      <c r="BP2" s="722"/>
      <c r="BQ2" s="722"/>
      <c r="BR2" s="722"/>
      <c r="BS2" s="722"/>
      <c r="BT2" s="722"/>
      <c r="BU2" s="722"/>
      <c r="BV2" s="722"/>
      <c r="BW2" s="722"/>
      <c r="BX2" s="722"/>
      <c r="BY2" s="722"/>
    </row>
    <row r="3" spans="2:77" ht="30.75" customHeight="1" x14ac:dyDescent="0.25">
      <c r="B3" s="426" t="s">
        <v>1089</v>
      </c>
      <c r="K3" s="370" t="s">
        <v>1145</v>
      </c>
    </row>
    <row r="4" spans="2:77" ht="8.1" customHeight="1" x14ac:dyDescent="0.2"/>
    <row r="5" spans="2:77" ht="10.15" customHeight="1" x14ac:dyDescent="0.2">
      <c r="B5" s="194" t="s">
        <v>388</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194"/>
      <c r="AG5" s="701">
        <f>'KdU-Berechnung'!AO14</f>
        <v>0</v>
      </c>
      <c r="AH5" s="701"/>
      <c r="AI5" s="701"/>
      <c r="AJ5" s="701"/>
      <c r="AK5" s="701"/>
      <c r="AL5" s="701"/>
      <c r="AM5" s="701"/>
      <c r="AN5" s="701"/>
      <c r="AO5" s="701"/>
      <c r="AP5" s="701"/>
      <c r="AQ5" s="701"/>
      <c r="AR5" s="701"/>
      <c r="AS5" s="701"/>
      <c r="AT5" s="701"/>
      <c r="AU5" s="701"/>
      <c r="AV5" s="701"/>
      <c r="AW5" s="701"/>
      <c r="AX5" s="701"/>
      <c r="AY5" s="701"/>
      <c r="AZ5" s="701"/>
      <c r="BA5" s="701"/>
      <c r="BB5" s="701"/>
      <c r="BC5" s="701"/>
      <c r="BD5" s="701"/>
      <c r="BE5" s="701"/>
      <c r="BF5" s="701"/>
      <c r="BG5" s="701"/>
      <c r="BH5" s="701"/>
      <c r="BI5" s="701"/>
      <c r="BJ5" s="701"/>
      <c r="BK5" s="701"/>
      <c r="BL5" s="701"/>
      <c r="BM5" s="701"/>
      <c r="BN5" s="701"/>
      <c r="BO5" s="701"/>
      <c r="BP5" s="701"/>
      <c r="BQ5" s="701"/>
      <c r="BR5" s="701"/>
      <c r="BS5" s="701"/>
      <c r="BT5" s="701"/>
      <c r="BU5" s="701"/>
      <c r="BV5" s="701"/>
      <c r="BW5" s="701"/>
      <c r="BX5" s="701"/>
      <c r="BY5" s="701"/>
    </row>
    <row r="6" spans="2:77" ht="3.2" customHeight="1" x14ac:dyDescent="0.2">
      <c r="B6" s="194"/>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194"/>
      <c r="AG6" s="194"/>
      <c r="AH6" s="365"/>
      <c r="AI6" s="365"/>
      <c r="AJ6" s="365"/>
      <c r="AK6" s="365"/>
      <c r="AL6" s="365"/>
      <c r="AM6" s="365"/>
      <c r="AN6" s="365"/>
      <c r="AO6" s="365"/>
      <c r="AP6" s="365"/>
      <c r="AQ6" s="194"/>
      <c r="AR6" s="194"/>
      <c r="AS6" s="194"/>
      <c r="AT6" s="194"/>
      <c r="AU6" s="194"/>
      <c r="AV6" s="194"/>
      <c r="AW6" s="194"/>
      <c r="AX6" s="194"/>
      <c r="AY6" s="194"/>
      <c r="AZ6" s="194"/>
      <c r="BA6" s="194"/>
      <c r="BB6" s="194"/>
      <c r="BC6" s="194"/>
      <c r="BD6" s="365"/>
      <c r="BE6" s="194"/>
      <c r="BF6" s="194"/>
      <c r="BG6" s="194"/>
      <c r="BH6" s="194"/>
      <c r="BI6" s="194"/>
      <c r="BJ6" s="194"/>
      <c r="BK6" s="194"/>
      <c r="BL6" s="194"/>
      <c r="BM6" s="194"/>
      <c r="BN6" s="194"/>
      <c r="BO6" s="194"/>
      <c r="BP6" s="194"/>
      <c r="BQ6" s="194"/>
      <c r="BR6" s="194"/>
      <c r="BS6" s="194"/>
      <c r="BT6" s="194"/>
      <c r="BU6" s="194"/>
      <c r="BV6" s="194"/>
      <c r="BW6" s="194"/>
      <c r="BX6" s="194"/>
      <c r="BY6" s="194"/>
    </row>
    <row r="7" spans="2:77" ht="10.15" customHeight="1" x14ac:dyDescent="0.2">
      <c r="B7" s="194" t="s">
        <v>410</v>
      </c>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194"/>
      <c r="AG7" s="700">
        <f>'KdU-Berechnung'!AO10</f>
        <v>0</v>
      </c>
      <c r="AH7" s="700"/>
      <c r="AI7" s="700"/>
      <c r="AJ7" s="700"/>
      <c r="AK7" s="700"/>
      <c r="AL7" s="700"/>
      <c r="AM7" s="700"/>
      <c r="AN7" s="700"/>
      <c r="AO7" s="700"/>
      <c r="AP7" s="700"/>
      <c r="AQ7" s="700"/>
      <c r="AR7" s="700"/>
      <c r="AS7" s="700"/>
      <c r="AT7" s="700"/>
      <c r="AU7" s="700"/>
      <c r="AV7" s="700"/>
      <c r="AW7" s="700"/>
      <c r="AX7" s="700"/>
      <c r="AY7" s="700"/>
      <c r="AZ7" s="700"/>
      <c r="BA7" s="700"/>
      <c r="BB7" s="700"/>
      <c r="BC7" s="700"/>
      <c r="BD7" s="700"/>
      <c r="BE7" s="700"/>
      <c r="BF7" s="700"/>
      <c r="BG7" s="700"/>
      <c r="BH7" s="700"/>
      <c r="BI7" s="700"/>
      <c r="BJ7" s="700"/>
      <c r="BK7" s="700"/>
      <c r="BL7" s="700"/>
      <c r="BM7" s="700"/>
      <c r="BN7" s="700"/>
      <c r="BO7" s="700"/>
      <c r="BP7" s="700"/>
      <c r="BQ7" s="700"/>
      <c r="BR7" s="700"/>
      <c r="BS7" s="700"/>
      <c r="BT7" s="700"/>
      <c r="BU7" s="700"/>
      <c r="BV7" s="700"/>
      <c r="BW7" s="700"/>
      <c r="BX7" s="700"/>
      <c r="BY7" s="700"/>
    </row>
    <row r="8" spans="2:77" ht="3.2" customHeight="1" x14ac:dyDescent="0.2">
      <c r="B8" s="194"/>
      <c r="C8" s="365"/>
      <c r="D8" s="365"/>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194"/>
      <c r="AG8" s="194"/>
      <c r="AH8" s="365"/>
      <c r="AI8" s="365"/>
      <c r="AJ8" s="365"/>
      <c r="AK8" s="365"/>
      <c r="AL8" s="365"/>
      <c r="AM8" s="365"/>
      <c r="AN8" s="365"/>
      <c r="AO8" s="365"/>
      <c r="AP8" s="365"/>
      <c r="AQ8" s="194"/>
      <c r="AR8" s="194"/>
      <c r="AS8" s="194"/>
      <c r="AT8" s="194"/>
      <c r="AU8" s="194"/>
      <c r="AV8" s="194"/>
      <c r="AW8" s="194"/>
      <c r="AX8" s="194"/>
      <c r="AY8" s="194"/>
      <c r="AZ8" s="194"/>
      <c r="BA8" s="194"/>
      <c r="BB8" s="194"/>
      <c r="BC8" s="194"/>
      <c r="BD8" s="365"/>
      <c r="BE8" s="365"/>
      <c r="BF8" s="365"/>
      <c r="BG8" s="365"/>
      <c r="BH8" s="365"/>
      <c r="BI8" s="365"/>
      <c r="BJ8" s="365"/>
      <c r="BK8" s="365"/>
      <c r="BL8" s="365"/>
      <c r="BM8" s="365"/>
      <c r="BN8" s="365"/>
      <c r="BO8" s="365"/>
      <c r="BP8" s="365"/>
      <c r="BQ8" s="365"/>
      <c r="BR8" s="365"/>
      <c r="BS8" s="365"/>
      <c r="BT8" s="365"/>
      <c r="BU8" s="365"/>
      <c r="BV8" s="365"/>
      <c r="BW8" s="365"/>
      <c r="BX8" s="365"/>
      <c r="BY8" s="194"/>
    </row>
    <row r="9" spans="2:77" ht="10.15" customHeight="1" x14ac:dyDescent="0.2">
      <c r="B9" s="194" t="s">
        <v>1059</v>
      </c>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194"/>
      <c r="AG9" s="702">
        <f>'KdU-Berechnung'!BJ10</f>
        <v>0</v>
      </c>
      <c r="AH9" s="700"/>
      <c r="AI9" s="700"/>
      <c r="AJ9" s="700"/>
      <c r="AK9" s="700"/>
      <c r="AL9" s="700"/>
      <c r="AM9" s="700"/>
      <c r="AN9" s="700"/>
      <c r="AO9" s="700"/>
      <c r="AP9" s="700"/>
      <c r="AQ9" s="700"/>
      <c r="AR9" s="194"/>
      <c r="AS9" s="194"/>
      <c r="AT9" s="194"/>
      <c r="AU9" s="194"/>
      <c r="AV9" s="194"/>
      <c r="AW9" s="194"/>
      <c r="AX9" s="194"/>
      <c r="AY9" s="194"/>
      <c r="AZ9" s="194"/>
      <c r="BA9" s="194"/>
      <c r="BB9" s="194"/>
      <c r="BC9" s="194"/>
      <c r="BD9" s="365"/>
      <c r="BE9" s="365"/>
      <c r="BF9" s="365"/>
      <c r="BG9" s="365"/>
      <c r="BH9" s="365"/>
      <c r="BI9" s="365"/>
      <c r="BJ9" s="365"/>
      <c r="BK9" s="365"/>
      <c r="BL9" s="365"/>
      <c r="BM9" s="365"/>
      <c r="BN9" s="365"/>
      <c r="BO9" s="365"/>
      <c r="BP9" s="365"/>
      <c r="BQ9" s="365"/>
      <c r="BR9" s="365"/>
      <c r="BS9" s="365"/>
      <c r="BT9" s="365"/>
      <c r="BU9" s="365"/>
      <c r="BV9" s="365"/>
      <c r="BW9" s="365"/>
      <c r="BX9" s="365"/>
      <c r="BY9" s="194"/>
    </row>
    <row r="10" spans="2:77" ht="3.2" customHeight="1" x14ac:dyDescent="0.2">
      <c r="B10" s="194"/>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194"/>
      <c r="AG10" s="194"/>
      <c r="AH10" s="365"/>
      <c r="AI10" s="365"/>
      <c r="AJ10" s="365"/>
      <c r="AK10" s="365"/>
      <c r="AL10" s="365"/>
      <c r="AM10" s="365"/>
      <c r="AN10" s="365"/>
      <c r="AO10" s="365"/>
      <c r="AP10" s="365"/>
      <c r="AQ10" s="194"/>
      <c r="AR10" s="194"/>
      <c r="AS10" s="194"/>
      <c r="AT10" s="194"/>
      <c r="AU10" s="194"/>
      <c r="AV10" s="194"/>
      <c r="AW10" s="194"/>
      <c r="AX10" s="194"/>
      <c r="AY10" s="194"/>
      <c r="AZ10" s="194"/>
      <c r="BA10" s="194"/>
      <c r="BB10" s="194"/>
      <c r="BC10" s="194"/>
      <c r="BD10" s="365"/>
      <c r="BE10" s="365"/>
      <c r="BF10" s="365"/>
      <c r="BG10" s="365"/>
      <c r="BH10" s="365"/>
      <c r="BI10" s="365"/>
      <c r="BJ10" s="365"/>
      <c r="BK10" s="365"/>
      <c r="BL10" s="365"/>
      <c r="BM10" s="365"/>
      <c r="BN10" s="365"/>
      <c r="BO10" s="365"/>
      <c r="BP10" s="365"/>
      <c r="BQ10" s="365"/>
      <c r="BR10" s="365"/>
      <c r="BS10" s="365"/>
      <c r="BT10" s="365"/>
      <c r="BU10" s="365"/>
      <c r="BV10" s="365"/>
      <c r="BW10" s="365"/>
      <c r="BX10" s="365"/>
      <c r="BY10" s="194"/>
    </row>
    <row r="11" spans="2:77" ht="10.15" customHeight="1" x14ac:dyDescent="0.2">
      <c r="B11" s="422" t="s">
        <v>1123</v>
      </c>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194"/>
      <c r="AG11" s="194"/>
      <c r="AH11" s="365"/>
      <c r="AI11" s="365"/>
      <c r="AJ11" s="365"/>
      <c r="AK11" s="365"/>
      <c r="AL11" s="365"/>
      <c r="AM11" s="365"/>
      <c r="AN11" s="365"/>
      <c r="AO11" s="365"/>
      <c r="AP11" s="365"/>
      <c r="AQ11" s="194"/>
      <c r="AR11" s="194"/>
      <c r="AS11" s="194"/>
      <c r="AT11" s="194"/>
      <c r="AU11" s="194"/>
      <c r="AV11" s="194"/>
      <c r="AW11" s="194"/>
      <c r="AX11" s="194"/>
      <c r="AY11" s="194"/>
      <c r="AZ11" s="194"/>
      <c r="BA11" s="194"/>
      <c r="BB11" s="194"/>
      <c r="BC11" s="194"/>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194"/>
    </row>
    <row r="12" spans="2:77" ht="3.2" customHeight="1" x14ac:dyDescent="0.2">
      <c r="B12" s="194"/>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194"/>
      <c r="AG12" s="194"/>
      <c r="AH12" s="365"/>
      <c r="AI12" s="365"/>
      <c r="AJ12" s="365"/>
      <c r="AK12" s="365"/>
      <c r="AL12" s="365"/>
      <c r="AM12" s="365"/>
      <c r="AN12" s="365"/>
      <c r="AO12" s="365"/>
      <c r="AP12" s="365"/>
      <c r="AQ12" s="194"/>
      <c r="AR12" s="194"/>
      <c r="AS12" s="194"/>
      <c r="AT12" s="194"/>
      <c r="AU12" s="194"/>
      <c r="AV12" s="194"/>
      <c r="AW12" s="194"/>
      <c r="AX12" s="194"/>
      <c r="AY12" s="194"/>
      <c r="AZ12" s="194"/>
      <c r="BA12" s="194"/>
      <c r="BB12" s="194"/>
      <c r="BC12" s="194"/>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194"/>
    </row>
    <row r="13" spans="2:77" ht="10.15" customHeight="1" x14ac:dyDescent="0.2">
      <c r="B13" s="194" t="s">
        <v>409</v>
      </c>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194"/>
      <c r="AG13" s="700">
        <f>'KdU-Berechnung'!B10</f>
        <v>0</v>
      </c>
      <c r="AH13" s="700"/>
      <c r="AI13" s="700"/>
      <c r="AJ13" s="700"/>
      <c r="AK13" s="700"/>
      <c r="AL13" s="700"/>
      <c r="AM13" s="700"/>
      <c r="AN13" s="700"/>
      <c r="AO13" s="700"/>
      <c r="AP13" s="700"/>
      <c r="AQ13" s="700"/>
      <c r="AR13" s="700"/>
      <c r="AS13" s="700"/>
      <c r="AT13" s="700"/>
      <c r="AU13" s="700"/>
      <c r="AV13" s="700"/>
      <c r="AW13" s="700"/>
      <c r="AX13" s="700"/>
      <c r="AY13" s="700"/>
      <c r="AZ13" s="700"/>
      <c r="BA13" s="700"/>
      <c r="BB13" s="700"/>
      <c r="BC13" s="700"/>
      <c r="BD13" s="700"/>
      <c r="BE13" s="700"/>
      <c r="BF13" s="700"/>
      <c r="BG13" s="700"/>
      <c r="BH13" s="700"/>
      <c r="BI13" s="700"/>
      <c r="BJ13" s="700"/>
      <c r="BK13" s="700"/>
      <c r="BL13" s="700"/>
      <c r="BM13" s="700"/>
      <c r="BN13" s="700"/>
      <c r="BO13" s="700"/>
      <c r="BP13" s="700"/>
      <c r="BQ13" s="700"/>
      <c r="BR13" s="700"/>
      <c r="BS13" s="700"/>
      <c r="BT13" s="700"/>
      <c r="BU13" s="700"/>
      <c r="BV13" s="700"/>
      <c r="BW13" s="700"/>
      <c r="BX13" s="700"/>
      <c r="BY13" s="700"/>
    </row>
    <row r="14" spans="2:77" ht="3.2" customHeight="1" x14ac:dyDescent="0.2">
      <c r="B14" s="194"/>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194"/>
      <c r="AG14" s="194"/>
      <c r="AH14" s="365"/>
      <c r="AI14" s="365"/>
      <c r="AJ14" s="365"/>
      <c r="AK14" s="365"/>
      <c r="AL14" s="365"/>
      <c r="AM14" s="365"/>
      <c r="AN14" s="365"/>
      <c r="AO14" s="365"/>
      <c r="AP14" s="365"/>
      <c r="AQ14" s="194"/>
      <c r="AR14" s="194"/>
      <c r="AS14" s="194"/>
      <c r="AT14" s="194"/>
      <c r="AU14" s="194"/>
      <c r="AV14" s="194"/>
      <c r="AW14" s="194"/>
      <c r="AX14" s="194"/>
      <c r="AY14" s="194"/>
      <c r="AZ14" s="194"/>
      <c r="BA14" s="194"/>
      <c r="BB14" s="194"/>
      <c r="BC14" s="194"/>
      <c r="BD14" s="365"/>
      <c r="BE14" s="365"/>
      <c r="BF14" s="365"/>
      <c r="BG14" s="365"/>
      <c r="BH14" s="365"/>
      <c r="BI14" s="365"/>
      <c r="BJ14" s="365"/>
      <c r="BK14" s="365"/>
      <c r="BL14" s="365"/>
      <c r="BM14" s="365"/>
      <c r="BN14" s="365"/>
      <c r="BO14" s="365"/>
      <c r="BP14" s="365"/>
      <c r="BQ14" s="365"/>
      <c r="BR14" s="365"/>
      <c r="BS14" s="365"/>
      <c r="BT14" s="365"/>
      <c r="BU14" s="365"/>
      <c r="BV14" s="365"/>
      <c r="BW14" s="365"/>
      <c r="BX14" s="365"/>
      <c r="BY14" s="194"/>
    </row>
    <row r="15" spans="2:77" ht="10.15" customHeight="1" x14ac:dyDescent="0.2">
      <c r="B15" s="194" t="s">
        <v>364</v>
      </c>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194"/>
      <c r="AG15" s="700" t="str">
        <f>'KdU-Berechnung'!B14&amp;" "&amp;'KdU-Berechnung'!AC14</f>
        <v xml:space="preserve"> </v>
      </c>
      <c r="AH15" s="700"/>
      <c r="AI15" s="700"/>
      <c r="AJ15" s="700"/>
      <c r="AK15" s="700"/>
      <c r="AL15" s="700"/>
      <c r="AM15" s="700"/>
      <c r="AN15" s="700"/>
      <c r="AO15" s="700"/>
      <c r="AP15" s="700"/>
      <c r="AQ15" s="700"/>
      <c r="AR15" s="700"/>
      <c r="AS15" s="700"/>
      <c r="AT15" s="700"/>
      <c r="AU15" s="700"/>
      <c r="AV15" s="700"/>
      <c r="AW15" s="700"/>
      <c r="AX15" s="700"/>
      <c r="AY15" s="700"/>
      <c r="AZ15" s="700"/>
      <c r="BA15" s="700"/>
      <c r="BB15" s="700"/>
      <c r="BC15" s="700"/>
      <c r="BD15" s="700"/>
      <c r="BE15" s="700"/>
      <c r="BF15" s="700"/>
      <c r="BG15" s="700"/>
      <c r="BH15" s="700"/>
      <c r="BI15" s="700"/>
      <c r="BJ15" s="700"/>
      <c r="BK15" s="700"/>
      <c r="BL15" s="700"/>
      <c r="BM15" s="700"/>
      <c r="BN15" s="700"/>
      <c r="BO15" s="700"/>
      <c r="BP15" s="700"/>
      <c r="BQ15" s="700"/>
      <c r="BR15" s="700"/>
      <c r="BS15" s="700"/>
      <c r="BT15" s="700"/>
      <c r="BU15" s="700"/>
      <c r="BV15" s="700"/>
      <c r="BW15" s="700"/>
      <c r="BX15" s="700"/>
      <c r="BY15" s="700"/>
    </row>
    <row r="16" spans="2:77" ht="3.2" customHeight="1" x14ac:dyDescent="0.2">
      <c r="B16" s="194"/>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194"/>
      <c r="AG16" s="194"/>
      <c r="AH16" s="365"/>
      <c r="AI16" s="365"/>
      <c r="AJ16" s="365"/>
      <c r="AK16" s="365"/>
      <c r="AL16" s="365"/>
      <c r="AM16" s="365"/>
      <c r="AN16" s="365"/>
      <c r="AO16" s="365"/>
      <c r="AP16" s="365"/>
      <c r="AQ16" s="194"/>
      <c r="AR16" s="194"/>
      <c r="AS16" s="194"/>
      <c r="AT16" s="194"/>
      <c r="AU16" s="194"/>
      <c r="AV16" s="194"/>
      <c r="AW16" s="194"/>
      <c r="AX16" s="194"/>
      <c r="AY16" s="194"/>
      <c r="AZ16" s="194"/>
      <c r="BA16" s="194"/>
      <c r="BB16" s="194"/>
      <c r="BC16" s="194"/>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194"/>
    </row>
    <row r="17" spans="2:77" ht="10.15" customHeight="1" x14ac:dyDescent="0.2">
      <c r="B17" s="194" t="s">
        <v>365</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194"/>
      <c r="AG17" s="700" t="str">
        <f>'KdU-Berechnung'!B18</f>
        <v/>
      </c>
      <c r="AH17" s="700"/>
      <c r="AI17" s="700"/>
      <c r="AJ17" s="700"/>
      <c r="AK17" s="700"/>
      <c r="AL17" s="700"/>
      <c r="AM17" s="700"/>
      <c r="AN17" s="700"/>
      <c r="AO17" s="700"/>
      <c r="AP17" s="700"/>
      <c r="AQ17" s="700"/>
      <c r="AR17" s="700"/>
      <c r="AS17" s="700"/>
      <c r="AT17" s="700"/>
      <c r="AU17" s="700"/>
      <c r="AV17" s="700"/>
      <c r="AW17" s="700"/>
      <c r="AX17" s="700"/>
      <c r="AY17" s="700"/>
      <c r="AZ17" s="700"/>
      <c r="BA17" s="700"/>
      <c r="BB17" s="700"/>
      <c r="BC17" s="700"/>
      <c r="BD17" s="700"/>
      <c r="BE17" s="700"/>
      <c r="BF17" s="700"/>
      <c r="BG17" s="700"/>
      <c r="BH17" s="700"/>
      <c r="BI17" s="700"/>
      <c r="BJ17" s="700"/>
      <c r="BK17" s="700"/>
      <c r="BL17" s="700"/>
      <c r="BM17" s="700"/>
      <c r="BN17" s="700"/>
      <c r="BO17" s="700"/>
      <c r="BP17" s="700"/>
      <c r="BQ17" s="700"/>
      <c r="BR17" s="700"/>
      <c r="BS17" s="700"/>
      <c r="BT17" s="700"/>
      <c r="BU17" s="700"/>
      <c r="BV17" s="700"/>
      <c r="BW17" s="700"/>
      <c r="BX17" s="700"/>
      <c r="BY17" s="700"/>
    </row>
    <row r="18" spans="2:77" ht="3.2" customHeight="1" x14ac:dyDescent="0.2">
      <c r="B18" s="194"/>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194"/>
      <c r="AG18" s="194"/>
      <c r="AH18" s="365"/>
      <c r="AI18" s="365"/>
      <c r="AJ18" s="365"/>
      <c r="AK18" s="365"/>
      <c r="AL18" s="365"/>
      <c r="AM18" s="365"/>
      <c r="AN18" s="365"/>
      <c r="AO18" s="365"/>
      <c r="AP18" s="365"/>
      <c r="AQ18" s="194"/>
      <c r="AR18" s="194"/>
      <c r="AS18" s="194"/>
      <c r="AT18" s="194"/>
      <c r="AU18" s="194"/>
      <c r="AV18" s="194"/>
      <c r="AW18" s="194"/>
      <c r="AX18" s="194"/>
      <c r="AY18" s="194"/>
      <c r="AZ18" s="194"/>
      <c r="BA18" s="194"/>
      <c r="BB18" s="194"/>
      <c r="BC18" s="194"/>
      <c r="BD18" s="365"/>
      <c r="BE18" s="365"/>
      <c r="BF18" s="365"/>
      <c r="BG18" s="365"/>
      <c r="BH18" s="365"/>
      <c r="BI18" s="365"/>
      <c r="BJ18" s="365"/>
      <c r="BK18" s="365"/>
      <c r="BL18" s="365"/>
      <c r="BM18" s="365"/>
      <c r="BN18" s="365"/>
      <c r="BO18" s="365"/>
      <c r="BP18" s="365"/>
      <c r="BQ18" s="365"/>
      <c r="BR18" s="365"/>
      <c r="BS18" s="365"/>
      <c r="BT18" s="365"/>
      <c r="BU18" s="365"/>
      <c r="BV18" s="365"/>
      <c r="BW18" s="365"/>
      <c r="BX18" s="365"/>
      <c r="BY18" s="194"/>
    </row>
    <row r="19" spans="2:77" ht="10.15" customHeight="1" x14ac:dyDescent="0.2">
      <c r="B19" s="194" t="s">
        <v>366</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194"/>
      <c r="AG19" s="700" t="str">
        <f>'KdU-Berechnung'!AA18</f>
        <v/>
      </c>
      <c r="AH19" s="700"/>
      <c r="AI19" s="700"/>
      <c r="AJ19" s="700"/>
      <c r="AK19" s="700"/>
      <c r="AL19" s="700"/>
      <c r="AM19" s="700"/>
      <c r="AN19" s="700"/>
      <c r="AO19" s="700"/>
      <c r="AP19" s="700"/>
      <c r="AQ19" s="700"/>
      <c r="AR19" s="700"/>
      <c r="AS19" s="700"/>
      <c r="AT19" s="700"/>
      <c r="AU19" s="700"/>
      <c r="AV19" s="700"/>
      <c r="AW19" s="700"/>
      <c r="AX19" s="700"/>
      <c r="AY19" s="700"/>
      <c r="AZ19" s="700"/>
      <c r="BA19" s="700"/>
      <c r="BB19" s="700"/>
      <c r="BC19" s="700"/>
      <c r="BD19" s="700"/>
      <c r="BE19" s="700"/>
      <c r="BF19" s="700"/>
      <c r="BG19" s="700"/>
      <c r="BH19" s="700"/>
      <c r="BI19" s="700"/>
      <c r="BJ19" s="700"/>
      <c r="BK19" s="700"/>
      <c r="BL19" s="700"/>
      <c r="BM19" s="700"/>
      <c r="BN19" s="700"/>
      <c r="BO19" s="700"/>
      <c r="BP19" s="700"/>
      <c r="BQ19" s="700"/>
      <c r="BR19" s="700"/>
      <c r="BS19" s="700"/>
      <c r="BT19" s="700"/>
      <c r="BU19" s="700"/>
      <c r="BV19" s="700"/>
      <c r="BW19" s="700"/>
      <c r="BX19" s="700"/>
      <c r="BY19" s="700"/>
    </row>
    <row r="20" spans="2:77" ht="3.2" customHeight="1" x14ac:dyDescent="0.2">
      <c r="B20" s="194"/>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194"/>
      <c r="AG20" s="194"/>
      <c r="AH20" s="365"/>
      <c r="AI20" s="365"/>
      <c r="AJ20" s="365"/>
      <c r="AK20" s="365"/>
      <c r="AL20" s="365"/>
      <c r="AM20" s="365"/>
      <c r="AN20" s="365"/>
      <c r="AO20" s="365"/>
      <c r="AP20" s="365"/>
      <c r="AQ20" s="194"/>
      <c r="AR20" s="194"/>
      <c r="AS20" s="194"/>
      <c r="AT20" s="194"/>
      <c r="AU20" s="194"/>
      <c r="AV20" s="194"/>
      <c r="AW20" s="194"/>
      <c r="AX20" s="194"/>
      <c r="AY20" s="194"/>
      <c r="AZ20" s="194"/>
      <c r="BA20" s="194"/>
      <c r="BB20" s="194"/>
      <c r="BC20" s="194"/>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194"/>
    </row>
    <row r="21" spans="2:77" ht="10.15" customHeight="1" x14ac:dyDescent="0.2">
      <c r="B21" s="194" t="s">
        <v>1062</v>
      </c>
      <c r="C21" s="365"/>
      <c r="D21" s="365"/>
      <c r="E21" s="365"/>
      <c r="F21" s="365"/>
      <c r="G21" s="365"/>
      <c r="H21" s="365"/>
      <c r="I21" s="365"/>
      <c r="J21" s="365"/>
      <c r="K21" s="365"/>
      <c r="L21" s="365"/>
      <c r="M21" s="383" t="e">
        <f>'KdU-Berechnung'!Z78</f>
        <v>#N/A</v>
      </c>
      <c r="N21" s="365"/>
      <c r="O21" s="365"/>
      <c r="P21" s="365"/>
      <c r="Q21" s="365"/>
      <c r="R21" s="365"/>
      <c r="S21" s="365"/>
      <c r="T21" s="365"/>
      <c r="U21" s="365"/>
      <c r="V21" s="365"/>
      <c r="W21" s="365"/>
      <c r="X21" s="365"/>
      <c r="Y21" s="365"/>
      <c r="Z21" s="365"/>
      <c r="AA21" s="365"/>
      <c r="AB21" s="365"/>
      <c r="AC21" s="365"/>
      <c r="AD21" s="365"/>
      <c r="AE21" s="365"/>
      <c r="AF21" s="194"/>
      <c r="AG21" s="700" t="str">
        <f>'KdU-Berechnung'!BQ18</f>
        <v/>
      </c>
      <c r="AH21" s="700"/>
      <c r="AI21" s="700"/>
      <c r="AJ21" s="700"/>
      <c r="AK21" s="700"/>
      <c r="AL21" s="700"/>
      <c r="AM21" s="700"/>
      <c r="AN21" s="700"/>
      <c r="AO21" s="700"/>
      <c r="AP21" s="700"/>
      <c r="AQ21" s="700"/>
      <c r="AR21" s="194"/>
      <c r="AS21" s="194"/>
      <c r="AT21" s="194"/>
      <c r="AU21" s="194"/>
      <c r="AV21" s="194"/>
      <c r="AW21" s="194"/>
      <c r="AX21" s="194"/>
      <c r="AY21" s="194"/>
      <c r="AZ21" s="194"/>
      <c r="BA21" s="194"/>
      <c r="BB21" s="194"/>
      <c r="BC21" s="194"/>
      <c r="BD21" s="365"/>
      <c r="BE21" s="365"/>
      <c r="BF21" s="365"/>
      <c r="BG21" s="365"/>
      <c r="BH21" s="365"/>
      <c r="BI21" s="365"/>
      <c r="BJ21" s="365"/>
      <c r="BK21" s="365"/>
      <c r="BL21" s="365"/>
      <c r="BM21" s="365"/>
      <c r="BN21" s="365"/>
      <c r="BO21" s="365"/>
      <c r="BP21" s="365"/>
      <c r="BQ21" s="365"/>
      <c r="BR21" s="365"/>
      <c r="BS21" s="365"/>
      <c r="BT21" s="365"/>
      <c r="BU21" s="365"/>
      <c r="BV21" s="365"/>
      <c r="BW21" s="365"/>
      <c r="BX21" s="365"/>
      <c r="BY21" s="194"/>
    </row>
    <row r="22" spans="2:77" ht="8.1" customHeight="1" x14ac:dyDescent="0.2">
      <c r="B22" s="194"/>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194"/>
      <c r="AG22" s="194"/>
      <c r="AH22" s="365"/>
      <c r="AI22" s="365"/>
      <c r="AJ22" s="365"/>
      <c r="AK22" s="365"/>
      <c r="AL22" s="365"/>
      <c r="AM22" s="365"/>
      <c r="AN22" s="365"/>
      <c r="AO22" s="365"/>
      <c r="AP22" s="365"/>
      <c r="AQ22" s="194"/>
      <c r="AR22" s="194"/>
      <c r="AS22" s="194"/>
      <c r="AT22" s="194"/>
      <c r="AU22" s="194"/>
      <c r="AV22" s="194"/>
      <c r="AW22" s="194"/>
      <c r="AX22" s="194"/>
      <c r="AY22" s="194"/>
      <c r="AZ22" s="194"/>
      <c r="BA22" s="194"/>
      <c r="BB22" s="194"/>
      <c r="BC22" s="194"/>
      <c r="BD22" s="365"/>
      <c r="BE22" s="365"/>
      <c r="BF22" s="365"/>
      <c r="BG22" s="365"/>
      <c r="BH22" s="365"/>
      <c r="BI22" s="365"/>
      <c r="BJ22" s="365"/>
      <c r="BK22" s="365"/>
      <c r="BL22" s="365"/>
      <c r="BM22" s="365"/>
      <c r="BN22" s="365"/>
      <c r="BO22" s="365"/>
      <c r="BP22" s="365"/>
      <c r="BQ22" s="365"/>
      <c r="BR22" s="365"/>
      <c r="BS22" s="365"/>
      <c r="BT22" s="365"/>
      <c r="BU22" s="365"/>
      <c r="BV22" s="365"/>
      <c r="BW22" s="365"/>
      <c r="BX22" s="365"/>
      <c r="BY22" s="194"/>
    </row>
    <row r="23" spans="2:77" ht="10.15" customHeight="1" x14ac:dyDescent="0.2">
      <c r="B23" s="422" t="s">
        <v>411</v>
      </c>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194"/>
      <c r="AG23" s="194"/>
      <c r="AH23" s="365"/>
      <c r="AI23" s="365"/>
      <c r="AJ23" s="365"/>
      <c r="AK23" s="365"/>
      <c r="AL23" s="365"/>
      <c r="AM23" s="365"/>
      <c r="AN23" s="365"/>
      <c r="AO23" s="365"/>
      <c r="AP23" s="365"/>
      <c r="AQ23" s="194"/>
      <c r="AR23" s="194"/>
      <c r="AS23" s="194"/>
      <c r="AT23" s="194"/>
      <c r="AU23" s="194"/>
      <c r="AV23" s="194"/>
      <c r="AW23" s="194"/>
      <c r="AX23" s="194"/>
      <c r="AY23" s="194"/>
      <c r="AZ23" s="194"/>
      <c r="BA23" s="194"/>
      <c r="BB23" s="194"/>
      <c r="BC23" s="194"/>
      <c r="BD23" s="365"/>
      <c r="BE23" s="365"/>
      <c r="BF23" s="365"/>
      <c r="BG23" s="365"/>
      <c r="BH23" s="365"/>
      <c r="BI23" s="365"/>
      <c r="BJ23" s="365"/>
      <c r="BK23" s="365"/>
      <c r="BL23" s="365"/>
      <c r="BM23" s="365"/>
      <c r="BN23" s="365"/>
      <c r="BO23" s="365"/>
      <c r="BP23" s="365"/>
      <c r="BQ23" s="365"/>
      <c r="BR23" s="365"/>
      <c r="BS23" s="365"/>
      <c r="BT23" s="365"/>
      <c r="BU23" s="365"/>
      <c r="BV23" s="365"/>
      <c r="BW23" s="365"/>
      <c r="BX23" s="365"/>
      <c r="BY23" s="194"/>
    </row>
    <row r="24" spans="2:77" ht="3.2" customHeight="1" x14ac:dyDescent="0.2">
      <c r="B24" s="194"/>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194"/>
      <c r="AG24" s="194"/>
      <c r="AH24" s="365"/>
      <c r="AI24" s="365"/>
      <c r="AJ24" s="365"/>
      <c r="AK24" s="365"/>
      <c r="AL24" s="365"/>
      <c r="AM24" s="365"/>
      <c r="AN24" s="365"/>
      <c r="AO24" s="365"/>
      <c r="AP24" s="365"/>
      <c r="AQ24" s="194"/>
      <c r="AR24" s="194"/>
      <c r="AS24" s="194"/>
      <c r="AT24" s="194"/>
      <c r="AU24" s="194"/>
      <c r="AV24" s="194"/>
      <c r="AW24" s="194"/>
      <c r="AX24" s="194"/>
      <c r="AY24" s="194"/>
      <c r="AZ24" s="194"/>
      <c r="BA24" s="194"/>
      <c r="BB24" s="194"/>
      <c r="BC24" s="194"/>
      <c r="BD24" s="365"/>
      <c r="BE24" s="365"/>
      <c r="BF24" s="365"/>
      <c r="BG24" s="365"/>
      <c r="BH24" s="365"/>
      <c r="BI24" s="365"/>
      <c r="BJ24" s="365"/>
      <c r="BK24" s="365"/>
      <c r="BL24" s="365"/>
      <c r="BM24" s="365"/>
      <c r="BN24" s="365"/>
      <c r="BO24" s="365"/>
      <c r="BP24" s="365"/>
      <c r="BQ24" s="365"/>
      <c r="BR24" s="365"/>
      <c r="BS24" s="365"/>
      <c r="BT24" s="365"/>
      <c r="BU24" s="365"/>
      <c r="BV24" s="365"/>
      <c r="BW24" s="365"/>
      <c r="BX24" s="365"/>
      <c r="BY24" s="194"/>
    </row>
    <row r="25" spans="2:77" ht="10.15" customHeight="1" x14ac:dyDescent="0.2">
      <c r="B25" s="432" t="s">
        <v>1060</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194"/>
      <c r="AG25" s="703">
        <f>'KdU-Berechnung'!AG24:AQ24</f>
        <v>0</v>
      </c>
      <c r="AH25" s="704"/>
      <c r="AI25" s="704"/>
      <c r="AJ25" s="704"/>
      <c r="AK25" s="704"/>
      <c r="AL25" s="704"/>
      <c r="AM25" s="704"/>
      <c r="AN25" s="704"/>
      <c r="AO25" s="704"/>
      <c r="AP25" s="704"/>
      <c r="AQ25" s="704"/>
      <c r="AR25" s="194"/>
      <c r="AS25" s="194"/>
      <c r="AT25" s="194"/>
      <c r="AU25" s="194"/>
      <c r="AV25" s="194"/>
      <c r="AW25" s="194"/>
      <c r="AX25" s="194"/>
      <c r="AY25" s="194"/>
      <c r="AZ25" s="194"/>
      <c r="BA25" s="194"/>
      <c r="BB25" s="194"/>
      <c r="BC25" s="194"/>
      <c r="BD25" s="365"/>
      <c r="BE25" s="365"/>
      <c r="BF25" s="365"/>
      <c r="BG25" s="365"/>
      <c r="BH25" s="365"/>
      <c r="BI25" s="365"/>
      <c r="BJ25" s="365"/>
      <c r="BK25" s="365"/>
      <c r="BL25" s="365"/>
      <c r="BM25" s="365"/>
      <c r="BN25" s="365"/>
      <c r="BO25" s="365"/>
      <c r="BP25" s="365"/>
      <c r="BQ25" s="365"/>
      <c r="BR25" s="365"/>
      <c r="BS25" s="365"/>
      <c r="BT25" s="365"/>
      <c r="BU25" s="365"/>
      <c r="BV25" s="365"/>
      <c r="BW25" s="365"/>
      <c r="BX25" s="365"/>
      <c r="BY25" s="194"/>
    </row>
    <row r="26" spans="2:77" ht="3.2" customHeight="1" x14ac:dyDescent="0.2">
      <c r="B26" s="194"/>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194"/>
      <c r="AG26" s="394"/>
      <c r="AH26" s="408"/>
      <c r="AI26" s="408"/>
      <c r="AJ26" s="408"/>
      <c r="AK26" s="408"/>
      <c r="AL26" s="408"/>
      <c r="AM26" s="408"/>
      <c r="AN26" s="408"/>
      <c r="AO26" s="408"/>
      <c r="AP26" s="408"/>
      <c r="AQ26" s="394"/>
      <c r="AR26" s="194"/>
      <c r="AS26" s="194"/>
      <c r="AT26" s="194"/>
      <c r="AU26" s="194"/>
      <c r="AV26" s="194"/>
      <c r="AW26" s="194"/>
      <c r="AX26" s="194"/>
      <c r="AY26" s="194"/>
      <c r="AZ26" s="194"/>
      <c r="BA26" s="194"/>
      <c r="BB26" s="194"/>
      <c r="BC26" s="194"/>
      <c r="BD26" s="365"/>
      <c r="BE26" s="365"/>
      <c r="BF26" s="365"/>
      <c r="BG26" s="365"/>
      <c r="BH26" s="365"/>
      <c r="BI26" s="365"/>
      <c r="BJ26" s="365"/>
      <c r="BK26" s="365"/>
      <c r="BL26" s="365"/>
      <c r="BM26" s="365"/>
      <c r="BN26" s="365"/>
      <c r="BO26" s="365"/>
      <c r="BP26" s="365"/>
      <c r="BQ26" s="365"/>
      <c r="BR26" s="365"/>
      <c r="BS26" s="365"/>
      <c r="BT26" s="365"/>
      <c r="BU26" s="365"/>
      <c r="BV26" s="365"/>
      <c r="BW26" s="365"/>
      <c r="BX26" s="365"/>
      <c r="BY26" s="194"/>
    </row>
    <row r="27" spans="2:77" ht="10.15" customHeight="1" x14ac:dyDescent="0.2">
      <c r="B27" s="194" t="s">
        <v>856</v>
      </c>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194"/>
      <c r="AG27" s="699">
        <f>'KdU-Berechnung'!AG28</f>
        <v>0</v>
      </c>
      <c r="AH27" s="699"/>
      <c r="AI27" s="699"/>
      <c r="AJ27" s="699"/>
      <c r="AK27" s="699"/>
      <c r="AL27" s="699"/>
      <c r="AM27" s="699"/>
      <c r="AN27" s="699"/>
      <c r="AO27" s="699"/>
      <c r="AP27" s="699"/>
      <c r="AQ27" s="699"/>
      <c r="AR27" s="194"/>
      <c r="AS27" s="194"/>
      <c r="AT27" s="194"/>
      <c r="AU27" s="194"/>
      <c r="AV27" s="194"/>
      <c r="AW27" s="194"/>
      <c r="AX27" s="194"/>
      <c r="AY27" s="194"/>
      <c r="AZ27" s="194"/>
      <c r="BA27" s="194"/>
      <c r="BB27" s="194"/>
      <c r="BC27" s="194"/>
      <c r="BD27" s="365"/>
      <c r="BE27" s="365"/>
      <c r="BF27" s="365"/>
      <c r="BG27" s="365"/>
      <c r="BH27" s="365"/>
      <c r="BI27" s="365"/>
      <c r="BJ27" s="365"/>
      <c r="BK27" s="365"/>
      <c r="BL27" s="365"/>
      <c r="BM27" s="365"/>
      <c r="BN27" s="365"/>
      <c r="BO27" s="365"/>
      <c r="BP27" s="365"/>
      <c r="BQ27" s="365"/>
      <c r="BR27" s="365"/>
      <c r="BS27" s="365"/>
      <c r="BT27" s="365"/>
      <c r="BU27" s="365"/>
      <c r="BV27" s="365"/>
      <c r="BW27" s="365"/>
      <c r="BX27" s="365"/>
      <c r="BY27" s="194"/>
    </row>
    <row r="28" spans="2:77" ht="3.2" customHeight="1" x14ac:dyDescent="0.2">
      <c r="B28" s="194"/>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194"/>
      <c r="AG28" s="394"/>
      <c r="AH28" s="408"/>
      <c r="AI28" s="408"/>
      <c r="AJ28" s="408"/>
      <c r="AK28" s="408"/>
      <c r="AL28" s="408"/>
      <c r="AM28" s="408"/>
      <c r="AN28" s="408"/>
      <c r="AO28" s="408"/>
      <c r="AP28" s="408"/>
      <c r="AQ28" s="394"/>
      <c r="AR28" s="194"/>
      <c r="AS28" s="194"/>
      <c r="AT28" s="194"/>
      <c r="AU28" s="194"/>
      <c r="AV28" s="194"/>
      <c r="AW28" s="194"/>
      <c r="AX28" s="194"/>
      <c r="AY28" s="194"/>
      <c r="AZ28" s="194"/>
      <c r="BA28" s="194"/>
      <c r="BB28" s="194"/>
      <c r="BC28" s="194"/>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194"/>
    </row>
    <row r="29" spans="2:77" ht="10.15" customHeight="1" x14ac:dyDescent="0.2">
      <c r="B29" s="194" t="s">
        <v>988</v>
      </c>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194"/>
      <c r="AG29" s="699">
        <f>'KdU-Berechnung'!AG30</f>
        <v>0</v>
      </c>
      <c r="AH29" s="699"/>
      <c r="AI29" s="699"/>
      <c r="AJ29" s="699"/>
      <c r="AK29" s="699"/>
      <c r="AL29" s="699"/>
      <c r="AM29" s="699"/>
      <c r="AN29" s="699"/>
      <c r="AO29" s="699"/>
      <c r="AP29" s="699"/>
      <c r="AQ29" s="699"/>
      <c r="AR29" s="194"/>
      <c r="AS29" s="194"/>
      <c r="AT29" s="194"/>
      <c r="AU29" s="194"/>
      <c r="AV29" s="194"/>
      <c r="AW29" s="194"/>
      <c r="AX29" s="194"/>
      <c r="AY29" s="194"/>
      <c r="AZ29" s="194"/>
      <c r="BA29" s="194"/>
      <c r="BB29" s="194"/>
      <c r="BC29" s="194"/>
      <c r="BD29" s="365"/>
      <c r="BE29" s="365"/>
      <c r="BF29" s="365"/>
      <c r="BG29" s="365"/>
      <c r="BH29" s="365"/>
      <c r="BI29" s="365"/>
      <c r="BJ29" s="365"/>
      <c r="BK29" s="365"/>
      <c r="BL29" s="365"/>
      <c r="BM29" s="365"/>
      <c r="BN29" s="365"/>
      <c r="BO29" s="365"/>
      <c r="BP29" s="365"/>
      <c r="BQ29" s="365"/>
      <c r="BR29" s="365"/>
      <c r="BS29" s="365"/>
      <c r="BT29" s="365"/>
      <c r="BU29" s="365"/>
      <c r="BV29" s="365"/>
      <c r="BW29" s="365"/>
      <c r="BX29" s="365"/>
      <c r="BY29" s="194"/>
    </row>
    <row r="30" spans="2:77" ht="3.2" customHeight="1" x14ac:dyDescent="0.2">
      <c r="B30" s="194"/>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194"/>
      <c r="AG30" s="394"/>
      <c r="AH30" s="408"/>
      <c r="AI30" s="408"/>
      <c r="AJ30" s="408"/>
      <c r="AK30" s="408"/>
      <c r="AL30" s="408"/>
      <c r="AM30" s="408"/>
      <c r="AN30" s="408"/>
      <c r="AO30" s="408"/>
      <c r="AP30" s="408"/>
      <c r="AQ30" s="394"/>
      <c r="AR30" s="194"/>
      <c r="AS30" s="194"/>
      <c r="AT30" s="194"/>
      <c r="AU30" s="194"/>
      <c r="AV30" s="194"/>
      <c r="AW30" s="194"/>
      <c r="AX30" s="194"/>
      <c r="AY30" s="194"/>
      <c r="AZ30" s="194"/>
      <c r="BA30" s="194"/>
      <c r="BB30" s="194"/>
      <c r="BC30" s="194"/>
      <c r="BD30" s="365"/>
      <c r="BE30" s="365"/>
      <c r="BF30" s="365"/>
      <c r="BG30" s="365"/>
      <c r="BH30" s="365"/>
      <c r="BI30" s="365"/>
      <c r="BJ30" s="365"/>
      <c r="BK30" s="365"/>
      <c r="BL30" s="365"/>
      <c r="BM30" s="365"/>
      <c r="BN30" s="365"/>
      <c r="BO30" s="365"/>
      <c r="BP30" s="365"/>
      <c r="BQ30" s="365"/>
      <c r="BR30" s="365"/>
      <c r="BS30" s="365"/>
      <c r="BT30" s="365"/>
      <c r="BU30" s="365"/>
      <c r="BV30" s="365"/>
      <c r="BW30" s="365"/>
      <c r="BX30" s="365"/>
      <c r="BY30" s="194"/>
    </row>
    <row r="31" spans="2:77" ht="10.15" customHeight="1" x14ac:dyDescent="0.2">
      <c r="B31" s="194" t="s">
        <v>413</v>
      </c>
      <c r="C31" s="365"/>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194"/>
      <c r="AG31" s="699" t="str">
        <f>'KdU-Berechnung'!AG32</f>
        <v/>
      </c>
      <c r="AH31" s="699"/>
      <c r="AI31" s="699"/>
      <c r="AJ31" s="699"/>
      <c r="AK31" s="699"/>
      <c r="AL31" s="699"/>
      <c r="AM31" s="699"/>
      <c r="AN31" s="699"/>
      <c r="AO31" s="699"/>
      <c r="AP31" s="699"/>
      <c r="AQ31" s="699"/>
      <c r="AR31" s="194"/>
      <c r="AS31" s="194"/>
      <c r="AT31" s="194"/>
      <c r="AU31" s="194"/>
      <c r="AV31" s="194"/>
      <c r="AW31" s="194"/>
      <c r="AX31" s="194"/>
      <c r="AY31" s="194"/>
      <c r="AZ31" s="194"/>
      <c r="BA31" s="194"/>
      <c r="BB31" s="194"/>
      <c r="BC31" s="194"/>
      <c r="BD31" s="365"/>
      <c r="BE31" s="365"/>
      <c r="BF31" s="365"/>
      <c r="BG31" s="365"/>
      <c r="BH31" s="365"/>
      <c r="BI31" s="365"/>
      <c r="BJ31" s="365"/>
      <c r="BK31" s="365"/>
      <c r="BL31" s="365"/>
      <c r="BM31" s="365"/>
      <c r="BN31" s="365"/>
      <c r="BO31" s="365"/>
      <c r="BP31" s="365"/>
      <c r="BQ31" s="365"/>
      <c r="BR31" s="365"/>
      <c r="BS31" s="365"/>
      <c r="BT31" s="365"/>
      <c r="BU31" s="365"/>
      <c r="BV31" s="365"/>
      <c r="BW31" s="365"/>
      <c r="BX31" s="365"/>
      <c r="BY31" s="194"/>
    </row>
    <row r="32" spans="2:77" ht="8.1" customHeight="1" x14ac:dyDescent="0.2">
      <c r="B32" s="194"/>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194"/>
      <c r="AG32" s="394"/>
      <c r="AH32" s="408"/>
      <c r="AI32" s="408"/>
      <c r="AJ32" s="408"/>
      <c r="AK32" s="408"/>
      <c r="AL32" s="408"/>
      <c r="AM32" s="408"/>
      <c r="AN32" s="408"/>
      <c r="AO32" s="408"/>
      <c r="AP32" s="408"/>
      <c r="AQ32" s="394"/>
      <c r="AR32" s="194"/>
      <c r="AS32" s="194"/>
      <c r="AT32" s="194"/>
      <c r="AU32" s="194"/>
      <c r="AV32" s="194"/>
      <c r="AW32" s="194"/>
      <c r="AX32" s="194"/>
      <c r="AY32" s="194"/>
      <c r="AZ32" s="194"/>
      <c r="BA32" s="194"/>
      <c r="BB32" s="194"/>
      <c r="BC32" s="194"/>
      <c r="BD32" s="365"/>
      <c r="BE32" s="365"/>
      <c r="BF32" s="365"/>
      <c r="BG32" s="365"/>
      <c r="BH32" s="365"/>
      <c r="BI32" s="365"/>
      <c r="BJ32" s="365"/>
      <c r="BK32" s="365"/>
      <c r="BL32" s="365"/>
      <c r="BM32" s="365"/>
      <c r="BN32" s="365"/>
      <c r="BO32" s="365"/>
      <c r="BP32" s="365"/>
      <c r="BQ32" s="365"/>
      <c r="BR32" s="365"/>
      <c r="BS32" s="365"/>
      <c r="BT32" s="365"/>
      <c r="BU32" s="365"/>
      <c r="BV32" s="365"/>
      <c r="BW32" s="365"/>
      <c r="BX32" s="365"/>
      <c r="BY32" s="194"/>
    </row>
    <row r="33" spans="2:79" s="365" customFormat="1" ht="10.15" customHeight="1" x14ac:dyDescent="0.2">
      <c r="B33" s="422" t="s">
        <v>1133</v>
      </c>
      <c r="AF33" s="194"/>
      <c r="AG33" s="394"/>
      <c r="AH33" s="408"/>
      <c r="AI33" s="408"/>
      <c r="AJ33" s="408"/>
      <c r="AK33" s="408"/>
      <c r="AL33" s="408"/>
      <c r="AM33" s="408"/>
      <c r="AN33" s="408"/>
      <c r="AO33" s="408"/>
      <c r="AP33" s="408"/>
      <c r="AQ33" s="394"/>
      <c r="AR33" s="194"/>
      <c r="AS33" s="184"/>
      <c r="AT33" s="194"/>
      <c r="AV33" s="422" t="str">
        <f>IF(Daten!K79&gt;0,"Auf BG entfallende Anteile (zus. Pers. zur Miete)","")</f>
        <v/>
      </c>
      <c r="AX33" s="194"/>
      <c r="AY33" s="194"/>
      <c r="AZ33" s="194"/>
      <c r="BA33" s="194"/>
      <c r="BB33" s="194"/>
      <c r="BC33" s="194"/>
      <c r="BY33" s="194"/>
      <c r="BZ33" s="194"/>
      <c r="CA33" s="194"/>
    </row>
    <row r="34" spans="2:79" s="365" customFormat="1" ht="3.2" customHeight="1" x14ac:dyDescent="0.2">
      <c r="B34" s="194"/>
      <c r="AF34" s="194"/>
      <c r="AG34" s="394"/>
      <c r="AH34" s="408"/>
      <c r="AI34" s="408"/>
      <c r="AJ34" s="408"/>
      <c r="AK34" s="408"/>
      <c r="AL34" s="408"/>
      <c r="AM34" s="408"/>
      <c r="AN34" s="408"/>
      <c r="AO34" s="408"/>
      <c r="AP34" s="408"/>
      <c r="AQ34" s="394"/>
      <c r="AR34" s="194"/>
      <c r="AS34" s="194"/>
      <c r="AT34" s="194"/>
      <c r="AU34" s="194"/>
      <c r="AV34" s="194"/>
      <c r="AW34" s="194"/>
      <c r="AX34" s="194"/>
      <c r="AY34" s="194"/>
      <c r="AZ34" s="194"/>
      <c r="BA34" s="194"/>
      <c r="BB34" s="194"/>
      <c r="BC34" s="194"/>
      <c r="BY34" s="194"/>
      <c r="BZ34" s="194"/>
      <c r="CA34" s="194"/>
    </row>
    <row r="35" spans="2:79" s="365" customFormat="1" ht="10.15" customHeight="1" x14ac:dyDescent="0.2">
      <c r="B35" s="194" t="s">
        <v>1124</v>
      </c>
      <c r="AF35" s="194"/>
      <c r="AG35" s="698">
        <f>'KdU-Berechnung'!AG26</f>
        <v>0</v>
      </c>
      <c r="AH35" s="699"/>
      <c r="AI35" s="699"/>
      <c r="AJ35" s="699"/>
      <c r="AK35" s="699"/>
      <c r="AL35" s="699"/>
      <c r="AM35" s="699"/>
      <c r="AN35" s="699"/>
      <c r="AO35" s="699"/>
      <c r="AP35" s="699"/>
      <c r="AQ35" s="699"/>
      <c r="AR35" s="194"/>
      <c r="AS35" s="421" t="s">
        <v>853</v>
      </c>
      <c r="AT35" s="184"/>
      <c r="AV35" s="697" t="str">
        <f>IF(Daten!K79&gt;0,Daten!H83,"")</f>
        <v/>
      </c>
      <c r="AW35" s="697"/>
      <c r="AX35" s="697"/>
      <c r="AY35" s="697"/>
      <c r="AZ35" s="697"/>
      <c r="BA35" s="697"/>
      <c r="BB35" s="697"/>
      <c r="BC35" s="697"/>
      <c r="BD35" s="697"/>
      <c r="BE35" s="697"/>
      <c r="BF35" s="697"/>
      <c r="BH35" s="367" t="str">
        <f>Daten!S81</f>
        <v/>
      </c>
      <c r="BJ35" s="363"/>
      <c r="BK35" s="363"/>
      <c r="BL35" s="363"/>
      <c r="BM35" s="363"/>
      <c r="BN35" s="363"/>
      <c r="BO35" s="363"/>
      <c r="BP35" s="363"/>
      <c r="BQ35" s="363"/>
      <c r="BR35" s="363"/>
      <c r="BS35" s="363"/>
      <c r="BT35" s="363"/>
      <c r="BU35" s="367"/>
      <c r="BV35" s="367"/>
      <c r="BW35" s="367"/>
      <c r="BX35" s="367"/>
      <c r="BY35" s="195"/>
      <c r="BZ35" s="194"/>
      <c r="CA35" s="194"/>
    </row>
    <row r="36" spans="2:79" s="365" customFormat="1" ht="3.2" customHeight="1" x14ac:dyDescent="0.2">
      <c r="B36" s="194"/>
      <c r="AF36" s="194"/>
      <c r="AG36" s="394"/>
      <c r="AH36" s="408"/>
      <c r="AI36" s="408"/>
      <c r="AJ36" s="408"/>
      <c r="AK36" s="408"/>
      <c r="AL36" s="408"/>
      <c r="AM36" s="408"/>
      <c r="AN36" s="408"/>
      <c r="AO36" s="408"/>
      <c r="AP36" s="408"/>
      <c r="AQ36" s="394"/>
      <c r="AR36" s="194"/>
      <c r="AS36" s="421"/>
      <c r="AT36" s="394"/>
      <c r="AU36" s="394"/>
      <c r="AV36" s="394"/>
      <c r="AW36" s="394"/>
      <c r="AX36" s="394"/>
      <c r="AY36" s="394"/>
      <c r="AZ36" s="394"/>
      <c r="BA36" s="394"/>
      <c r="BB36" s="394"/>
      <c r="BC36" s="394"/>
      <c r="BY36" s="194"/>
      <c r="BZ36" s="194"/>
      <c r="CA36" s="194"/>
    </row>
    <row r="37" spans="2:79" s="365" customFormat="1" ht="10.15" customHeight="1" x14ac:dyDescent="0.2">
      <c r="B37" s="501" t="s">
        <v>1141</v>
      </c>
      <c r="AF37" s="194"/>
      <c r="AG37" s="705">
        <f>'KdU-Berechnung'!AG70</f>
        <v>0</v>
      </c>
      <c r="AH37" s="706"/>
      <c r="AI37" s="706"/>
      <c r="AJ37" s="706"/>
      <c r="AK37" s="706"/>
      <c r="AL37" s="706"/>
      <c r="AM37" s="706"/>
      <c r="AN37" s="706"/>
      <c r="AO37" s="706"/>
      <c r="AP37" s="706"/>
      <c r="AQ37" s="706"/>
      <c r="AR37" s="194"/>
      <c r="AS37" s="421" t="s">
        <v>853</v>
      </c>
      <c r="AT37" s="184"/>
      <c r="AV37" s="697" t="str">
        <f>IF(Daten!K79&gt;0,Daten!H91,"")</f>
        <v/>
      </c>
      <c r="AW37" s="697"/>
      <c r="AX37" s="697"/>
      <c r="AY37" s="697"/>
      <c r="AZ37" s="697"/>
      <c r="BA37" s="697"/>
      <c r="BB37" s="697"/>
      <c r="BC37" s="697"/>
      <c r="BD37" s="697"/>
      <c r="BE37" s="697"/>
      <c r="BF37" s="697"/>
      <c r="BH37" s="367" t="str">
        <f>Daten!S81</f>
        <v/>
      </c>
      <c r="BK37" s="363"/>
      <c r="BL37" s="363"/>
      <c r="BM37" s="363"/>
      <c r="BN37" s="363"/>
      <c r="BO37" s="363"/>
      <c r="BP37" s="363"/>
      <c r="BQ37" s="363"/>
      <c r="BR37" s="363"/>
      <c r="BS37" s="363"/>
      <c r="BT37" s="363"/>
      <c r="BU37" s="363"/>
      <c r="BY37" s="194"/>
      <c r="BZ37" s="194"/>
      <c r="CA37" s="194"/>
    </row>
    <row r="38" spans="2:79" s="365" customFormat="1" ht="3.2" customHeight="1" x14ac:dyDescent="0.2">
      <c r="B38" s="194"/>
      <c r="AF38" s="194"/>
      <c r="AG38" s="394"/>
      <c r="AH38" s="408"/>
      <c r="AI38" s="408"/>
      <c r="AJ38" s="408"/>
      <c r="AK38" s="408"/>
      <c r="AL38" s="408"/>
      <c r="AM38" s="408"/>
      <c r="AN38" s="408"/>
      <c r="AO38" s="408"/>
      <c r="AP38" s="408"/>
      <c r="AQ38" s="394"/>
      <c r="AR38" s="194"/>
      <c r="AS38" s="421"/>
      <c r="AT38" s="394"/>
      <c r="AU38" s="394"/>
      <c r="AV38" s="394"/>
      <c r="AW38" s="394"/>
      <c r="AX38" s="394"/>
      <c r="AY38" s="394"/>
      <c r="AZ38" s="394"/>
      <c r="BA38" s="394"/>
      <c r="BB38" s="394"/>
      <c r="BC38" s="394"/>
      <c r="BY38" s="194"/>
      <c r="BZ38" s="194"/>
      <c r="CA38" s="194"/>
    </row>
    <row r="39" spans="2:79" s="365" customFormat="1" ht="10.15" customHeight="1" x14ac:dyDescent="0.2">
      <c r="B39" s="194" t="s">
        <v>1127</v>
      </c>
      <c r="AF39" s="194"/>
      <c r="AG39" s="698">
        <f>'KdU-Berechnung'!AG40</f>
        <v>0</v>
      </c>
      <c r="AH39" s="699"/>
      <c r="AI39" s="699"/>
      <c r="AJ39" s="699"/>
      <c r="AK39" s="699"/>
      <c r="AL39" s="699"/>
      <c r="AM39" s="699"/>
      <c r="AN39" s="699"/>
      <c r="AO39" s="699"/>
      <c r="AP39" s="699"/>
      <c r="AQ39" s="699"/>
      <c r="AR39" s="194"/>
      <c r="AS39" s="421" t="s">
        <v>853</v>
      </c>
      <c r="AT39" s="184"/>
      <c r="AV39" s="697" t="str">
        <f>IF(Daten!K79&gt;0,Daten!H85,"")</f>
        <v/>
      </c>
      <c r="AW39" s="697"/>
      <c r="AX39" s="697"/>
      <c r="AY39" s="697"/>
      <c r="AZ39" s="697"/>
      <c r="BA39" s="697"/>
      <c r="BB39" s="697"/>
      <c r="BC39" s="697"/>
      <c r="BD39" s="697"/>
      <c r="BE39" s="697"/>
      <c r="BF39" s="697"/>
      <c r="BH39" s="365" t="str">
        <f>Daten!S81</f>
        <v/>
      </c>
      <c r="BM39" s="363"/>
      <c r="BN39" s="363"/>
      <c r="BO39" s="363"/>
      <c r="BP39" s="363"/>
      <c r="BQ39" s="363"/>
      <c r="BR39" s="363"/>
      <c r="BS39" s="363"/>
      <c r="BT39" s="363"/>
      <c r="BU39" s="363"/>
      <c r="BV39" s="363"/>
      <c r="BW39" s="363"/>
      <c r="BY39" s="194"/>
      <c r="BZ39" s="194"/>
      <c r="CA39" s="194"/>
    </row>
    <row r="40" spans="2:79" s="365" customFormat="1" ht="3.2" customHeight="1" x14ac:dyDescent="0.2">
      <c r="B40" s="194"/>
      <c r="AF40" s="194"/>
      <c r="AG40" s="394"/>
      <c r="AH40" s="408"/>
      <c r="AI40" s="408"/>
      <c r="AJ40" s="408"/>
      <c r="AK40" s="408"/>
      <c r="AL40" s="408"/>
      <c r="AM40" s="408"/>
      <c r="AN40" s="408"/>
      <c r="AO40" s="408"/>
      <c r="AP40" s="408"/>
      <c r="AQ40" s="394"/>
      <c r="AR40" s="194"/>
      <c r="AS40" s="421"/>
      <c r="AT40" s="394"/>
      <c r="AU40" s="394"/>
      <c r="AV40" s="394"/>
      <c r="AW40" s="394"/>
      <c r="AX40" s="394"/>
      <c r="AY40" s="394"/>
      <c r="AZ40" s="394"/>
      <c r="BA40" s="394"/>
      <c r="BB40" s="394"/>
      <c r="BC40" s="394"/>
      <c r="BY40" s="194"/>
      <c r="BZ40" s="194"/>
      <c r="CA40" s="194"/>
    </row>
    <row r="41" spans="2:79" s="365" customFormat="1" ht="10.15" customHeight="1" x14ac:dyDescent="0.2">
      <c r="B41" s="194" t="s">
        <v>1125</v>
      </c>
      <c r="AF41" s="194"/>
      <c r="AG41" s="698">
        <f>'KdU-Berechnung'!AG60</f>
        <v>0</v>
      </c>
      <c r="AH41" s="699"/>
      <c r="AI41" s="699"/>
      <c r="AJ41" s="699"/>
      <c r="AK41" s="699"/>
      <c r="AL41" s="699"/>
      <c r="AM41" s="699"/>
      <c r="AN41" s="699"/>
      <c r="AO41" s="699"/>
      <c r="AP41" s="699"/>
      <c r="AQ41" s="699"/>
      <c r="AR41" s="194"/>
      <c r="AS41" s="421" t="s">
        <v>853</v>
      </c>
      <c r="AT41" s="394"/>
      <c r="AU41" s="394"/>
      <c r="AV41" s="697" t="str">
        <f>IF(Daten!K79&gt;0,Daten!Q83,"")</f>
        <v/>
      </c>
      <c r="AW41" s="697"/>
      <c r="AX41" s="697"/>
      <c r="AY41" s="697"/>
      <c r="AZ41" s="697"/>
      <c r="BA41" s="697"/>
      <c r="BB41" s="697"/>
      <c r="BC41" s="697"/>
      <c r="BD41" s="697"/>
      <c r="BE41" s="697"/>
      <c r="BF41" s="697"/>
      <c r="BH41" s="365" t="str">
        <f>Daten!S81</f>
        <v/>
      </c>
      <c r="BY41" s="194"/>
      <c r="BZ41" s="194"/>
      <c r="CA41" s="194"/>
    </row>
    <row r="42" spans="2:79" ht="3.2" customHeight="1" x14ac:dyDescent="0.2">
      <c r="B42" s="194"/>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194"/>
      <c r="AG42" s="394"/>
      <c r="AH42" s="408"/>
      <c r="AI42" s="408"/>
      <c r="AJ42" s="408"/>
      <c r="AK42" s="408"/>
      <c r="AL42" s="408"/>
      <c r="AM42" s="408"/>
      <c r="AN42" s="408"/>
      <c r="AO42" s="408"/>
      <c r="AP42" s="408"/>
      <c r="AQ42" s="394"/>
      <c r="AR42" s="194"/>
      <c r="AS42" s="421"/>
      <c r="AT42" s="394"/>
      <c r="AU42" s="394"/>
      <c r="AV42" s="396"/>
      <c r="AW42" s="396"/>
      <c r="AX42" s="396"/>
      <c r="AY42" s="396"/>
      <c r="AZ42" s="396"/>
      <c r="BA42" s="396"/>
      <c r="BB42" s="396"/>
      <c r="BC42" s="396"/>
      <c r="BD42" s="396"/>
      <c r="BE42" s="396"/>
      <c r="BF42" s="396"/>
      <c r="BH42" s="365"/>
      <c r="BI42" s="365"/>
      <c r="BJ42" s="365"/>
      <c r="BK42" s="365"/>
      <c r="BL42" s="365"/>
      <c r="BM42" s="365"/>
      <c r="BN42" s="365"/>
      <c r="BO42" s="365"/>
      <c r="BP42" s="365"/>
      <c r="BQ42" s="365"/>
      <c r="BR42" s="365"/>
      <c r="BS42" s="365"/>
      <c r="BT42" s="365"/>
      <c r="BU42" s="365"/>
      <c r="BV42" s="365"/>
      <c r="BW42" s="365"/>
      <c r="BX42" s="365"/>
      <c r="BY42" s="194"/>
      <c r="BZ42" s="184"/>
      <c r="CA42" s="184"/>
    </row>
    <row r="43" spans="2:79" ht="10.15" customHeight="1" x14ac:dyDescent="0.2">
      <c r="B43" s="194" t="s">
        <v>1128</v>
      </c>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194"/>
      <c r="AG43" s="698">
        <f>'KdU-Berechnung'!AG62</f>
        <v>0</v>
      </c>
      <c r="AH43" s="699"/>
      <c r="AI43" s="699"/>
      <c r="AJ43" s="699"/>
      <c r="AK43" s="699"/>
      <c r="AL43" s="699"/>
      <c r="AM43" s="699"/>
      <c r="AN43" s="699"/>
      <c r="AO43" s="699"/>
      <c r="AP43" s="699"/>
      <c r="AQ43" s="699"/>
      <c r="AR43" s="194"/>
      <c r="AS43" s="421" t="s">
        <v>853</v>
      </c>
      <c r="AT43" s="394"/>
      <c r="AU43" s="394"/>
      <c r="AV43" s="697" t="str">
        <f>IF(Daten!K79&gt;0,Daten!Q85,"")</f>
        <v/>
      </c>
      <c r="AW43" s="697"/>
      <c r="AX43" s="697"/>
      <c r="AY43" s="697"/>
      <c r="AZ43" s="697"/>
      <c r="BA43" s="697"/>
      <c r="BB43" s="697"/>
      <c r="BC43" s="697"/>
      <c r="BD43" s="697"/>
      <c r="BE43" s="697"/>
      <c r="BF43" s="697"/>
      <c r="BH43" s="365" t="str">
        <f>Daten!S81</f>
        <v/>
      </c>
      <c r="BI43" s="365"/>
      <c r="BJ43" s="365"/>
      <c r="BK43" s="365"/>
      <c r="BL43" s="365"/>
      <c r="BM43" s="365"/>
      <c r="BN43" s="365"/>
      <c r="BO43" s="365"/>
      <c r="BP43" s="365"/>
      <c r="BQ43" s="365"/>
      <c r="BR43" s="365"/>
      <c r="BS43" s="365"/>
      <c r="BT43" s="365"/>
      <c r="BU43" s="365"/>
      <c r="BV43" s="365"/>
      <c r="BW43" s="365"/>
      <c r="BX43" s="365"/>
      <c r="BY43" s="194"/>
      <c r="BZ43" s="184"/>
      <c r="CA43" s="184"/>
    </row>
    <row r="44" spans="2:79" ht="3.2" customHeight="1" x14ac:dyDescent="0.2">
      <c r="B44" s="194"/>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194"/>
      <c r="AG44" s="394"/>
      <c r="AH44" s="408"/>
      <c r="AI44" s="408"/>
      <c r="AJ44" s="408"/>
      <c r="AK44" s="408"/>
      <c r="AL44" s="408"/>
      <c r="AM44" s="408"/>
      <c r="AN44" s="408"/>
      <c r="AO44" s="408"/>
      <c r="AP44" s="408"/>
      <c r="AQ44" s="394"/>
      <c r="AR44" s="194"/>
      <c r="AS44" s="421"/>
      <c r="AT44" s="394"/>
      <c r="AU44" s="394"/>
      <c r="AV44" s="395"/>
      <c r="AW44" s="395"/>
      <c r="AX44" s="395"/>
      <c r="AY44" s="395"/>
      <c r="AZ44" s="395"/>
      <c r="BA44" s="395"/>
      <c r="BB44" s="395"/>
      <c r="BC44" s="395"/>
      <c r="BD44" s="396"/>
      <c r="BE44" s="396"/>
      <c r="BF44" s="396"/>
      <c r="BG44" s="365"/>
      <c r="BH44" s="365"/>
      <c r="BI44" s="365"/>
      <c r="BJ44" s="365"/>
      <c r="BK44" s="365"/>
      <c r="BL44" s="365"/>
      <c r="BM44" s="365"/>
      <c r="BN44" s="365"/>
      <c r="BO44" s="365"/>
      <c r="BP44" s="365"/>
      <c r="BQ44" s="365"/>
      <c r="BR44" s="365"/>
      <c r="BS44" s="365"/>
      <c r="BT44" s="365"/>
      <c r="BU44" s="365"/>
      <c r="BV44" s="365"/>
      <c r="BW44" s="365"/>
      <c r="BX44" s="365"/>
      <c r="BY44" s="194"/>
      <c r="BZ44" s="184"/>
      <c r="CA44" s="184"/>
    </row>
    <row r="45" spans="2:79" ht="10.15" customHeight="1" x14ac:dyDescent="0.2">
      <c r="B45" s="194" t="s">
        <v>1129</v>
      </c>
      <c r="C45" s="365"/>
      <c r="D45" s="365"/>
      <c r="E45" s="365"/>
      <c r="F45" s="365"/>
      <c r="G45" s="365"/>
      <c r="H45" s="365"/>
      <c r="I45" s="365"/>
      <c r="J45" s="365"/>
      <c r="K45" s="365"/>
      <c r="L45" s="696">
        <f>'KdU-Berechnung'!S64</f>
        <v>0</v>
      </c>
      <c r="M45" s="696"/>
      <c r="N45" s="696"/>
      <c r="O45" s="696"/>
      <c r="P45" s="696"/>
      <c r="Q45" s="696"/>
      <c r="R45" s="696"/>
      <c r="S45" s="696"/>
      <c r="T45" s="696"/>
      <c r="U45" s="696"/>
      <c r="V45" s="696"/>
      <c r="W45" s="696"/>
      <c r="X45" s="696"/>
      <c r="Y45" s="696"/>
      <c r="Z45" s="696"/>
      <c r="AA45" s="696"/>
      <c r="AB45" s="696"/>
      <c r="AC45" s="696"/>
      <c r="AD45" s="696"/>
      <c r="AE45" s="365"/>
      <c r="AF45" s="194"/>
      <c r="AG45" s="698">
        <f>'KdU-Berechnung'!AG64</f>
        <v>0</v>
      </c>
      <c r="AH45" s="699"/>
      <c r="AI45" s="699"/>
      <c r="AJ45" s="699"/>
      <c r="AK45" s="699"/>
      <c r="AL45" s="699"/>
      <c r="AM45" s="699"/>
      <c r="AN45" s="699"/>
      <c r="AO45" s="699"/>
      <c r="AP45" s="699"/>
      <c r="AQ45" s="699"/>
      <c r="AR45" s="194"/>
      <c r="AS45" s="421" t="s">
        <v>853</v>
      </c>
      <c r="AT45" s="394"/>
      <c r="AU45" s="394"/>
      <c r="AV45" s="697" t="str">
        <f>IF(Daten!K79&gt;0,Daten!Q87,"")</f>
        <v/>
      </c>
      <c r="AW45" s="697"/>
      <c r="AX45" s="697"/>
      <c r="AY45" s="697"/>
      <c r="AZ45" s="697"/>
      <c r="BA45" s="697"/>
      <c r="BB45" s="697"/>
      <c r="BC45" s="697"/>
      <c r="BD45" s="697"/>
      <c r="BE45" s="697"/>
      <c r="BF45" s="697"/>
      <c r="BG45" s="365"/>
      <c r="BH45" s="365" t="str">
        <f>Daten!S81</f>
        <v/>
      </c>
      <c r="BI45" s="365"/>
      <c r="BJ45" s="365"/>
      <c r="BK45" s="365"/>
      <c r="BL45" s="365"/>
      <c r="BM45" s="365"/>
      <c r="BN45" s="365"/>
      <c r="BO45" s="365"/>
      <c r="BP45" s="365"/>
      <c r="BQ45" s="365"/>
      <c r="BR45" s="365"/>
      <c r="BS45" s="365"/>
      <c r="BT45" s="365"/>
      <c r="BU45" s="365"/>
      <c r="BV45" s="365"/>
      <c r="BW45" s="365"/>
      <c r="BX45" s="365"/>
      <c r="BY45" s="194"/>
      <c r="BZ45" s="184"/>
      <c r="CA45" s="184"/>
    </row>
    <row r="46" spans="2:79" ht="3.2" customHeight="1" x14ac:dyDescent="0.2">
      <c r="B46" s="194"/>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194"/>
      <c r="AG46" s="394"/>
      <c r="AH46" s="408"/>
      <c r="AI46" s="408"/>
      <c r="AJ46" s="408"/>
      <c r="AK46" s="408"/>
      <c r="AL46" s="408"/>
      <c r="AM46" s="408"/>
      <c r="AN46" s="408"/>
      <c r="AO46" s="408"/>
      <c r="AP46" s="408"/>
      <c r="AQ46" s="394"/>
      <c r="AR46" s="194"/>
      <c r="AS46" s="421"/>
      <c r="AT46" s="394"/>
      <c r="AU46" s="394"/>
      <c r="AV46" s="395"/>
      <c r="AW46" s="395"/>
      <c r="AX46" s="395"/>
      <c r="AY46" s="395"/>
      <c r="AZ46" s="395"/>
      <c r="BA46" s="395"/>
      <c r="BB46" s="395"/>
      <c r="BC46" s="395"/>
      <c r="BD46" s="396"/>
      <c r="BE46" s="396"/>
      <c r="BF46" s="396"/>
      <c r="BG46" s="365"/>
      <c r="BH46" s="365"/>
      <c r="BI46" s="365"/>
      <c r="BJ46" s="365"/>
      <c r="BK46" s="365"/>
      <c r="BL46" s="365"/>
      <c r="BM46" s="365"/>
      <c r="BN46" s="365"/>
      <c r="BO46" s="365"/>
      <c r="BP46" s="365"/>
      <c r="BQ46" s="365"/>
      <c r="BR46" s="365"/>
      <c r="BS46" s="365"/>
      <c r="BT46" s="365"/>
      <c r="BU46" s="365"/>
      <c r="BV46" s="365"/>
      <c r="BW46" s="365"/>
      <c r="BX46" s="365"/>
      <c r="BY46" s="194"/>
      <c r="BZ46" s="184"/>
      <c r="CA46" s="184"/>
    </row>
    <row r="47" spans="2:79" ht="10.15" customHeight="1" x14ac:dyDescent="0.2">
      <c r="B47" s="194" t="s">
        <v>1129</v>
      </c>
      <c r="C47" s="365"/>
      <c r="D47" s="365"/>
      <c r="E47" s="365"/>
      <c r="F47" s="365"/>
      <c r="G47" s="365"/>
      <c r="H47" s="365"/>
      <c r="I47" s="365"/>
      <c r="J47" s="365"/>
      <c r="K47" s="365"/>
      <c r="L47" s="696">
        <f>'KdU-Berechnung'!S66</f>
        <v>0</v>
      </c>
      <c r="M47" s="696"/>
      <c r="N47" s="696"/>
      <c r="O47" s="696"/>
      <c r="P47" s="696"/>
      <c r="Q47" s="696"/>
      <c r="R47" s="696"/>
      <c r="S47" s="696"/>
      <c r="T47" s="696"/>
      <c r="U47" s="696"/>
      <c r="V47" s="696"/>
      <c r="W47" s="696"/>
      <c r="X47" s="696"/>
      <c r="Y47" s="696"/>
      <c r="Z47" s="696"/>
      <c r="AA47" s="696"/>
      <c r="AB47" s="696"/>
      <c r="AC47" s="696"/>
      <c r="AD47" s="696"/>
      <c r="AE47" s="696"/>
      <c r="AF47" s="194"/>
      <c r="AG47" s="698">
        <f>'KdU-Berechnung'!AG66</f>
        <v>0</v>
      </c>
      <c r="AH47" s="699"/>
      <c r="AI47" s="699"/>
      <c r="AJ47" s="699"/>
      <c r="AK47" s="699"/>
      <c r="AL47" s="699"/>
      <c r="AM47" s="699"/>
      <c r="AN47" s="699"/>
      <c r="AO47" s="699"/>
      <c r="AP47" s="699"/>
      <c r="AQ47" s="699"/>
      <c r="AR47" s="194"/>
      <c r="AS47" s="421" t="s">
        <v>853</v>
      </c>
      <c r="AT47" s="394"/>
      <c r="AV47" s="697" t="str">
        <f>IF(Daten!K79&gt;0,Daten!Q89,"")</f>
        <v/>
      </c>
      <c r="AW47" s="697"/>
      <c r="AX47" s="697"/>
      <c r="AY47" s="697"/>
      <c r="AZ47" s="697"/>
      <c r="BA47" s="697"/>
      <c r="BB47" s="697"/>
      <c r="BC47" s="697"/>
      <c r="BD47" s="697"/>
      <c r="BE47" s="697"/>
      <c r="BF47" s="697"/>
      <c r="BG47" s="365"/>
      <c r="BH47" s="365" t="str">
        <f>Daten!S81</f>
        <v/>
      </c>
      <c r="BI47" s="365"/>
      <c r="BJ47" s="365"/>
      <c r="BK47" s="365"/>
      <c r="BL47" s="365"/>
      <c r="BM47" s="365"/>
      <c r="BN47" s="365"/>
      <c r="BO47" s="365"/>
      <c r="BP47" s="365"/>
      <c r="BQ47" s="365"/>
      <c r="BR47" s="365"/>
      <c r="BS47" s="365"/>
      <c r="BT47" s="365"/>
      <c r="BU47" s="365"/>
      <c r="BV47" s="365"/>
      <c r="BW47" s="365"/>
      <c r="BX47" s="365"/>
      <c r="BY47" s="194"/>
      <c r="BZ47" s="184"/>
      <c r="CA47" s="184"/>
    </row>
    <row r="48" spans="2:79" ht="3.2" customHeight="1" x14ac:dyDescent="0.2">
      <c r="B48" s="194"/>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194"/>
      <c r="AG48" s="394"/>
      <c r="AH48" s="408"/>
      <c r="AI48" s="408"/>
      <c r="AJ48" s="408"/>
      <c r="AK48" s="408"/>
      <c r="AL48" s="408"/>
      <c r="AM48" s="408"/>
      <c r="AN48" s="408"/>
      <c r="AO48" s="408"/>
      <c r="AP48" s="408"/>
      <c r="AQ48" s="394"/>
      <c r="AR48" s="194"/>
      <c r="AS48" s="421"/>
      <c r="AT48" s="394"/>
      <c r="AU48" s="394"/>
      <c r="AV48" s="395"/>
      <c r="AW48" s="395"/>
      <c r="AX48" s="395"/>
      <c r="AY48" s="395"/>
      <c r="AZ48" s="395"/>
      <c r="BA48" s="395"/>
      <c r="BB48" s="395"/>
      <c r="BC48" s="395"/>
      <c r="BD48" s="396"/>
      <c r="BE48" s="396"/>
      <c r="BF48" s="396"/>
      <c r="BG48" s="365"/>
      <c r="BH48" s="365"/>
      <c r="BI48" s="365"/>
      <c r="BJ48" s="365"/>
      <c r="BK48" s="365"/>
      <c r="BL48" s="365"/>
      <c r="BM48" s="365"/>
      <c r="BN48" s="365"/>
      <c r="BO48" s="365"/>
      <c r="BP48" s="365"/>
      <c r="BQ48" s="365"/>
      <c r="BR48" s="365"/>
      <c r="BS48" s="365"/>
      <c r="BT48" s="365"/>
      <c r="BU48" s="365"/>
      <c r="BV48" s="365"/>
      <c r="BW48" s="365"/>
      <c r="BX48" s="365"/>
      <c r="BY48" s="194"/>
      <c r="BZ48" s="184"/>
      <c r="CA48" s="184"/>
    </row>
    <row r="49" spans="2:79" ht="10.15" customHeight="1" x14ac:dyDescent="0.2">
      <c r="B49" s="194" t="s">
        <v>1130</v>
      </c>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194"/>
      <c r="AG49" s="698">
        <f>'KdU-Berechnung'!AG68</f>
        <v>0</v>
      </c>
      <c r="AH49" s="699"/>
      <c r="AI49" s="699"/>
      <c r="AJ49" s="699"/>
      <c r="AK49" s="699"/>
      <c r="AL49" s="699"/>
      <c r="AM49" s="699"/>
      <c r="AN49" s="699"/>
      <c r="AO49" s="699"/>
      <c r="AP49" s="699"/>
      <c r="AQ49" s="699"/>
      <c r="AR49" s="194"/>
      <c r="AS49" s="525" t="s">
        <v>853</v>
      </c>
      <c r="AU49" s="363"/>
      <c r="AV49" s="697" t="str">
        <f>IF(Daten!K79&gt;0,Daten!H89,"")</f>
        <v/>
      </c>
      <c r="AW49" s="697"/>
      <c r="AX49" s="697"/>
      <c r="AY49" s="697"/>
      <c r="AZ49" s="697"/>
      <c r="BA49" s="697"/>
      <c r="BB49" s="697"/>
      <c r="BC49" s="697"/>
      <c r="BD49" s="697"/>
      <c r="BE49" s="697"/>
      <c r="BF49" s="697"/>
      <c r="BH49" s="365" t="str">
        <f>Daten!S81</f>
        <v/>
      </c>
      <c r="BJ49" s="365"/>
      <c r="BK49" s="365"/>
      <c r="BL49" s="365"/>
      <c r="BM49" s="365"/>
      <c r="BN49" s="365"/>
      <c r="BZ49" s="184"/>
      <c r="CA49" s="184"/>
    </row>
    <row r="50" spans="2:79" ht="3.2" customHeight="1" x14ac:dyDescent="0.2">
      <c r="B50" s="194"/>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194"/>
      <c r="AG50" s="394"/>
      <c r="AH50" s="408"/>
      <c r="AI50" s="408"/>
      <c r="AJ50" s="408"/>
      <c r="AK50" s="408"/>
      <c r="AL50" s="408"/>
      <c r="AM50" s="408"/>
      <c r="AN50" s="408"/>
      <c r="AO50" s="408"/>
      <c r="AP50" s="408"/>
      <c r="AQ50" s="394"/>
      <c r="AR50" s="194"/>
      <c r="AS50" s="421"/>
      <c r="AT50" s="394"/>
      <c r="AU50" s="394"/>
      <c r="AV50" s="363"/>
      <c r="AW50" s="363"/>
      <c r="AX50" s="363"/>
      <c r="AY50" s="363"/>
      <c r="AZ50" s="363"/>
      <c r="BA50" s="363"/>
      <c r="BB50" s="363"/>
      <c r="BC50" s="363"/>
      <c r="BH50" s="365"/>
      <c r="BI50" s="365"/>
      <c r="BJ50" s="365"/>
      <c r="BK50" s="365"/>
      <c r="BL50" s="365"/>
      <c r="BM50" s="365"/>
      <c r="BN50" s="365"/>
      <c r="BO50" s="365"/>
      <c r="BP50" s="365"/>
      <c r="BQ50" s="365"/>
      <c r="BR50" s="365"/>
      <c r="BS50" s="365"/>
      <c r="BT50" s="365"/>
      <c r="BU50" s="365"/>
      <c r="BV50" s="365"/>
      <c r="BW50" s="365"/>
      <c r="BX50" s="365"/>
      <c r="BY50" s="194"/>
      <c r="BZ50" s="184"/>
      <c r="CA50" s="184"/>
    </row>
    <row r="51" spans="2:79" ht="12.2" customHeight="1" x14ac:dyDescent="0.2">
      <c r="B51" s="422" t="s">
        <v>1132</v>
      </c>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363"/>
      <c r="AV51" s="422"/>
      <c r="AW51" s="363"/>
      <c r="AX51" s="194"/>
      <c r="AY51" s="194"/>
      <c r="AZ51" s="194"/>
      <c r="BA51" s="194"/>
      <c r="BB51" s="194"/>
      <c r="BC51" s="365"/>
      <c r="BD51" s="365"/>
      <c r="BE51" s="365"/>
      <c r="BF51" s="365"/>
      <c r="BG51" s="365"/>
      <c r="BH51" s="365"/>
      <c r="BI51" s="365"/>
      <c r="BJ51" s="365"/>
      <c r="BK51" s="365"/>
      <c r="BL51" s="365"/>
      <c r="BM51" s="365"/>
      <c r="BN51" s="365"/>
      <c r="BO51" s="365"/>
      <c r="BP51" s="365"/>
      <c r="BQ51" s="365"/>
      <c r="BR51" s="365"/>
      <c r="BS51" s="365"/>
      <c r="BT51" s="365"/>
      <c r="BU51" s="365"/>
      <c r="BV51" s="365"/>
      <c r="BW51" s="365"/>
      <c r="BX51" s="194"/>
      <c r="BY51" s="416"/>
      <c r="BZ51" s="184"/>
      <c r="CA51" s="184"/>
    </row>
    <row r="52" spans="2:79" ht="3.2" customHeight="1" x14ac:dyDescent="0.2">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416"/>
      <c r="AV52" s="194"/>
      <c r="AW52" s="194"/>
      <c r="AX52" s="194"/>
      <c r="AY52" s="194"/>
      <c r="AZ52" s="194"/>
      <c r="BA52" s="194"/>
      <c r="BB52" s="194"/>
      <c r="BC52" s="365"/>
      <c r="BD52" s="365"/>
      <c r="BE52" s="365"/>
      <c r="BF52" s="365"/>
      <c r="BG52" s="365"/>
      <c r="BH52" s="365"/>
      <c r="BI52" s="365"/>
      <c r="BJ52" s="365"/>
      <c r="BK52" s="365"/>
      <c r="BL52" s="365"/>
      <c r="BM52" s="365"/>
      <c r="BN52" s="365"/>
      <c r="BO52" s="365"/>
      <c r="BP52" s="365"/>
      <c r="BQ52" s="365"/>
      <c r="BR52" s="365"/>
      <c r="BS52" s="365"/>
      <c r="BT52" s="365"/>
      <c r="BU52" s="365"/>
      <c r="BV52" s="365"/>
      <c r="BW52" s="365"/>
      <c r="BX52" s="194"/>
      <c r="BY52" s="416"/>
      <c r="BZ52" s="184"/>
      <c r="CA52" s="184"/>
    </row>
    <row r="53" spans="2:79" ht="10.15" customHeight="1" x14ac:dyDescent="0.2">
      <c r="B53" s="194" t="s">
        <v>414</v>
      </c>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194"/>
      <c r="AG53" s="698">
        <f>'KdU-Berechnung'!AG36</f>
        <v>0</v>
      </c>
      <c r="AH53" s="698"/>
      <c r="AI53" s="698"/>
      <c r="AJ53" s="698"/>
      <c r="AK53" s="698"/>
      <c r="AL53" s="698"/>
      <c r="AM53" s="698"/>
      <c r="AN53" s="698"/>
      <c r="AO53" s="698"/>
      <c r="AP53" s="698"/>
      <c r="AQ53" s="698"/>
      <c r="AR53" s="194"/>
      <c r="AS53" s="393" t="s">
        <v>401</v>
      </c>
      <c r="AT53" s="393"/>
      <c r="AU53" s="393"/>
      <c r="AV53" s="393"/>
      <c r="AW53" s="393"/>
      <c r="AX53" s="393"/>
      <c r="AY53" s="393"/>
      <c r="AZ53" s="393"/>
      <c r="BA53" s="393"/>
      <c r="BB53" s="393"/>
      <c r="BC53" s="367"/>
      <c r="BD53" s="367"/>
      <c r="BE53" s="367"/>
      <c r="BF53" s="367"/>
      <c r="BG53" s="367"/>
      <c r="BH53" s="367"/>
      <c r="BI53" s="367"/>
      <c r="BJ53" s="367"/>
      <c r="BK53" s="367"/>
      <c r="BL53" s="367"/>
      <c r="BM53" s="367"/>
      <c r="BN53" s="367"/>
      <c r="BO53" s="367"/>
      <c r="BP53" s="367"/>
      <c r="BQ53" s="367"/>
      <c r="BR53" s="367"/>
      <c r="BS53" s="367"/>
      <c r="BT53" s="367"/>
      <c r="BU53" s="367"/>
      <c r="BV53" s="367"/>
      <c r="BW53" s="367"/>
      <c r="BX53" s="195"/>
      <c r="BY53" s="195"/>
      <c r="BZ53" s="184"/>
      <c r="CA53" s="184"/>
    </row>
    <row r="54" spans="2:79" s="365" customFormat="1" ht="3.2" customHeight="1" x14ac:dyDescent="0.2">
      <c r="B54" s="194"/>
      <c r="AF54" s="194"/>
      <c r="AG54" s="394"/>
      <c r="AH54" s="408"/>
      <c r="AI54" s="408"/>
      <c r="AJ54" s="408"/>
      <c r="AK54" s="408"/>
      <c r="AL54" s="408"/>
      <c r="AM54" s="408"/>
      <c r="AN54" s="408"/>
      <c r="AO54" s="408"/>
      <c r="AP54" s="408"/>
      <c r="AQ54" s="394"/>
      <c r="AR54" s="194"/>
      <c r="AS54" s="194"/>
      <c r="AT54" s="194"/>
      <c r="AU54" s="194"/>
      <c r="AV54" s="194"/>
      <c r="AW54" s="194"/>
      <c r="AX54" s="194"/>
      <c r="AY54" s="194"/>
      <c r="AZ54" s="194"/>
      <c r="BA54" s="194"/>
      <c r="BB54" s="194"/>
      <c r="BX54" s="194"/>
      <c r="BY54" s="194"/>
      <c r="BZ54" s="194"/>
      <c r="CA54" s="194"/>
    </row>
    <row r="55" spans="2:79" s="365" customFormat="1" ht="10.15" customHeight="1" x14ac:dyDescent="0.2">
      <c r="B55" s="194" t="s">
        <v>379</v>
      </c>
      <c r="AF55" s="194"/>
      <c r="AG55" s="698">
        <f>'KdU-Berechnung'!AG38</f>
        <v>0</v>
      </c>
      <c r="AH55" s="698"/>
      <c r="AI55" s="698"/>
      <c r="AJ55" s="698"/>
      <c r="AK55" s="698"/>
      <c r="AL55" s="698"/>
      <c r="AM55" s="698"/>
      <c r="AN55" s="698"/>
      <c r="AO55" s="698"/>
      <c r="AP55" s="698"/>
      <c r="AQ55" s="698"/>
      <c r="AR55" s="194"/>
      <c r="AS55" s="194" t="s">
        <v>401</v>
      </c>
      <c r="AT55" s="194"/>
      <c r="AU55" s="194"/>
      <c r="AV55" s="194"/>
      <c r="AW55" s="194"/>
      <c r="AX55" s="194"/>
      <c r="AY55" s="194"/>
      <c r="AZ55" s="194"/>
      <c r="BA55" s="194"/>
      <c r="BB55" s="194"/>
      <c r="BX55" s="194"/>
      <c r="BY55" s="194"/>
      <c r="BZ55" s="194"/>
      <c r="CA55" s="194"/>
    </row>
    <row r="56" spans="2:79" s="365" customFormat="1" ht="3.2" customHeight="1" x14ac:dyDescent="0.2">
      <c r="B56" s="194"/>
      <c r="AF56" s="194"/>
      <c r="AG56" s="394"/>
      <c r="AH56" s="408"/>
      <c r="AI56" s="408"/>
      <c r="AJ56" s="408"/>
      <c r="AK56" s="408"/>
      <c r="AL56" s="408"/>
      <c r="AM56" s="408"/>
      <c r="AN56" s="408"/>
      <c r="AO56" s="408"/>
      <c r="AP56" s="408"/>
      <c r="AQ56" s="394"/>
      <c r="AR56" s="194"/>
      <c r="AS56" s="194"/>
      <c r="AT56" s="194"/>
      <c r="AU56" s="194"/>
      <c r="AV56" s="194"/>
      <c r="AW56" s="194"/>
      <c r="AX56" s="194"/>
      <c r="AY56" s="194"/>
      <c r="AZ56" s="194"/>
      <c r="BA56" s="194"/>
      <c r="BB56" s="194"/>
      <c r="BX56" s="194"/>
      <c r="BY56" s="194"/>
      <c r="BZ56" s="194"/>
      <c r="CA56" s="194"/>
    </row>
    <row r="57" spans="2:79" s="365" customFormat="1" ht="10.15" customHeight="1" x14ac:dyDescent="0.2">
      <c r="B57" s="194" t="s">
        <v>415</v>
      </c>
      <c r="AF57" s="194"/>
      <c r="AG57" s="732" t="str">
        <f>'KdU-Berechnung'!Z82</f>
        <v>kein Klimabonus</v>
      </c>
      <c r="AH57" s="699"/>
      <c r="AI57" s="699"/>
      <c r="AJ57" s="699"/>
      <c r="AK57" s="699"/>
      <c r="AL57" s="699"/>
      <c r="AM57" s="699"/>
      <c r="AN57" s="699"/>
      <c r="AO57" s="699"/>
      <c r="AP57" s="699"/>
      <c r="AQ57" s="699"/>
      <c r="AR57" s="194"/>
      <c r="AS57" s="393"/>
      <c r="AT57" s="393"/>
      <c r="AU57" s="393"/>
      <c r="AV57" s="393"/>
      <c r="AW57" s="393"/>
      <c r="AX57" s="393"/>
      <c r="AY57" s="393"/>
      <c r="AZ57" s="393"/>
      <c r="BA57" s="393"/>
      <c r="BB57" s="393"/>
      <c r="BX57" s="194"/>
      <c r="BY57" s="194"/>
      <c r="BZ57" s="194"/>
      <c r="CA57" s="194"/>
    </row>
    <row r="58" spans="2:79" s="365" customFormat="1" ht="3.2" customHeight="1" x14ac:dyDescent="0.2">
      <c r="B58" s="194"/>
      <c r="AF58" s="194"/>
      <c r="AG58" s="394"/>
      <c r="AH58" s="394"/>
      <c r="AI58" s="394"/>
      <c r="AJ58" s="394"/>
      <c r="AK58" s="394"/>
      <c r="AL58" s="394"/>
      <c r="AM58" s="394"/>
      <c r="AN58" s="394"/>
      <c r="AO58" s="394"/>
      <c r="AP58" s="394"/>
      <c r="AQ58" s="394"/>
      <c r="AR58" s="194"/>
      <c r="AS58" s="194"/>
      <c r="AT58" s="194"/>
      <c r="AU58" s="194"/>
      <c r="AV58" s="194"/>
      <c r="AW58" s="194"/>
      <c r="AX58" s="194"/>
      <c r="AY58" s="194"/>
      <c r="AZ58" s="194"/>
      <c r="BA58" s="194"/>
      <c r="BB58" s="194"/>
      <c r="BX58" s="194"/>
      <c r="BY58" s="194"/>
      <c r="BZ58" s="194"/>
      <c r="CA58" s="194"/>
    </row>
    <row r="59" spans="2:79" s="365" customFormat="1" ht="10.15" customHeight="1" x14ac:dyDescent="0.2">
      <c r="B59" s="194" t="s">
        <v>1143</v>
      </c>
      <c r="AF59" s="194"/>
      <c r="AG59" s="698">
        <f>'KdU-Berechnung'!AG56</f>
        <v>0</v>
      </c>
      <c r="AH59" s="698"/>
      <c r="AI59" s="698"/>
      <c r="AJ59" s="698"/>
      <c r="AK59" s="698"/>
      <c r="AL59" s="698"/>
      <c r="AM59" s="698"/>
      <c r="AN59" s="698"/>
      <c r="AO59" s="698"/>
      <c r="AP59" s="698"/>
      <c r="AQ59" s="698"/>
      <c r="AR59" s="194"/>
      <c r="AS59" s="194" t="s">
        <v>401</v>
      </c>
      <c r="AT59" s="194"/>
      <c r="AU59" s="194"/>
      <c r="AV59" s="194"/>
      <c r="AW59" s="194"/>
      <c r="AX59" s="194"/>
      <c r="AY59" s="194"/>
      <c r="AZ59" s="194"/>
      <c r="BA59" s="194"/>
      <c r="BB59" s="194"/>
      <c r="BX59" s="194"/>
      <c r="BY59" s="194"/>
      <c r="BZ59" s="194"/>
      <c r="CA59" s="194"/>
    </row>
    <row r="60" spans="2:79" s="365" customFormat="1" ht="3.2" customHeight="1" x14ac:dyDescent="0.2">
      <c r="B60" s="194"/>
      <c r="AF60" s="194"/>
      <c r="AG60" s="394"/>
      <c r="AH60" s="394"/>
      <c r="AI60" s="394"/>
      <c r="AJ60" s="394"/>
      <c r="AK60" s="394"/>
      <c r="AL60" s="394"/>
      <c r="AM60" s="394"/>
      <c r="AN60" s="394"/>
      <c r="AO60" s="394"/>
      <c r="AP60" s="394"/>
      <c r="AQ60" s="394"/>
      <c r="AR60" s="194"/>
      <c r="AS60" s="194"/>
      <c r="AT60" s="194"/>
      <c r="AU60" s="194"/>
      <c r="AV60" s="194"/>
      <c r="AW60" s="194"/>
      <c r="AX60" s="194"/>
      <c r="AY60" s="194"/>
      <c r="AZ60" s="194"/>
      <c r="BA60" s="194"/>
      <c r="BB60" s="194"/>
      <c r="BX60" s="194"/>
      <c r="BY60" s="194"/>
      <c r="BZ60" s="194"/>
      <c r="CA60" s="194"/>
    </row>
    <row r="61" spans="2:79" s="365" customFormat="1" ht="10.15" customHeight="1" x14ac:dyDescent="0.2">
      <c r="B61" s="194" t="s">
        <v>1095</v>
      </c>
      <c r="AF61" s="194"/>
      <c r="AG61" s="698">
        <f>'KdU-Berechnung'!AG44</f>
        <v>0</v>
      </c>
      <c r="AH61" s="698"/>
      <c r="AI61" s="698"/>
      <c r="AJ61" s="698"/>
      <c r="AK61" s="698"/>
      <c r="AL61" s="698"/>
      <c r="AM61" s="698"/>
      <c r="AN61" s="698"/>
      <c r="AO61" s="698"/>
      <c r="AP61" s="698"/>
      <c r="AQ61" s="698"/>
      <c r="AR61" s="194"/>
      <c r="AS61" s="393"/>
      <c r="AT61" s="393"/>
      <c r="AU61" s="393"/>
      <c r="BX61" s="194"/>
      <c r="BY61" s="194"/>
      <c r="BZ61" s="194"/>
      <c r="CA61" s="194"/>
    </row>
    <row r="62" spans="2:79" s="365" customFormat="1" ht="3.2" customHeight="1" x14ac:dyDescent="0.2">
      <c r="B62" s="194"/>
      <c r="AF62" s="194"/>
      <c r="AG62" s="394"/>
      <c r="AH62" s="394"/>
      <c r="AI62" s="394"/>
      <c r="AJ62" s="394"/>
      <c r="AK62" s="394"/>
      <c r="AL62" s="394"/>
      <c r="AM62" s="394"/>
      <c r="AN62" s="394"/>
      <c r="AO62" s="394"/>
      <c r="AP62" s="394"/>
      <c r="AQ62" s="394"/>
      <c r="AR62" s="194"/>
      <c r="AS62" s="194"/>
      <c r="AT62" s="194"/>
      <c r="BX62" s="194"/>
      <c r="BY62" s="194"/>
      <c r="BZ62" s="194"/>
      <c r="CA62" s="194"/>
    </row>
    <row r="63" spans="2:79" s="365" customFormat="1" ht="10.15" customHeight="1" x14ac:dyDescent="0.2">
      <c r="B63" s="194" t="s">
        <v>1142</v>
      </c>
      <c r="AF63" s="194"/>
      <c r="AG63" s="698">
        <f>'KdU-Berechnung'!AG40</f>
        <v>0</v>
      </c>
      <c r="AH63" s="698"/>
      <c r="AI63" s="698"/>
      <c r="AJ63" s="698"/>
      <c r="AK63" s="698"/>
      <c r="AL63" s="698"/>
      <c r="AM63" s="698"/>
      <c r="AN63" s="698"/>
      <c r="AO63" s="698"/>
      <c r="AP63" s="698"/>
      <c r="AQ63" s="698"/>
      <c r="AR63" s="194"/>
      <c r="AS63" s="365" t="s">
        <v>853</v>
      </c>
      <c r="AV63" s="697" t="str">
        <f>IF(Daten!K79&gt;0,'KdU-Berechnung'!BO40,"")</f>
        <v/>
      </c>
      <c r="AW63" s="697"/>
      <c r="AX63" s="697"/>
      <c r="AY63" s="697"/>
      <c r="AZ63" s="697"/>
      <c r="BA63" s="697"/>
      <c r="BB63" s="697"/>
      <c r="BC63" s="697"/>
      <c r="BD63" s="697"/>
      <c r="BE63" s="697"/>
      <c r="BF63" s="697"/>
      <c r="BH63" s="365" t="str">
        <f>Daten!S81</f>
        <v/>
      </c>
      <c r="BX63" s="194"/>
      <c r="BY63" s="194"/>
      <c r="BZ63" s="194"/>
      <c r="CA63" s="194"/>
    </row>
    <row r="64" spans="2:79" s="365" customFormat="1" ht="3.2" customHeight="1" x14ac:dyDescent="0.2">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BH64" s="194"/>
      <c r="BI64" s="194"/>
      <c r="BJ64" s="194"/>
      <c r="BK64" s="194"/>
      <c r="BL64" s="194"/>
      <c r="BM64" s="194"/>
      <c r="BN64" s="194"/>
      <c r="BO64" s="194"/>
      <c r="BP64" s="194"/>
      <c r="BQ64" s="194"/>
      <c r="BR64" s="194"/>
      <c r="BS64" s="194"/>
      <c r="BT64" s="194"/>
      <c r="BU64" s="194"/>
      <c r="BV64" s="194"/>
      <c r="BW64" s="194"/>
      <c r="BX64" s="194"/>
      <c r="BZ64" s="194"/>
      <c r="CA64" s="194"/>
    </row>
    <row r="65" spans="2:79" s="365" customFormat="1" ht="10.15" customHeight="1" x14ac:dyDescent="0.2">
      <c r="B65" s="194" t="s">
        <v>1177</v>
      </c>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699">
        <f>'KdU-Berechnung'!AG42</f>
        <v>0</v>
      </c>
      <c r="AH65" s="699"/>
      <c r="AI65" s="699"/>
      <c r="AJ65" s="699"/>
      <c r="AK65" s="699"/>
      <c r="AL65" s="699"/>
      <c r="AM65" s="699"/>
      <c r="AN65" s="699"/>
      <c r="AO65" s="699"/>
      <c r="AP65" s="699"/>
      <c r="AQ65" s="699"/>
      <c r="AR65" s="194"/>
      <c r="AS65" s="194"/>
      <c r="AT65" s="194"/>
      <c r="AU65" s="194"/>
      <c r="BH65" s="194"/>
      <c r="BI65" s="194"/>
      <c r="BJ65" s="194"/>
      <c r="BK65" s="194"/>
      <c r="BL65" s="194"/>
      <c r="BM65" s="194"/>
      <c r="BN65" s="194"/>
      <c r="BO65" s="194"/>
      <c r="BP65" s="194"/>
      <c r="BQ65" s="194"/>
      <c r="BR65" s="194"/>
      <c r="BS65" s="194"/>
      <c r="BT65" s="194"/>
      <c r="BU65" s="194"/>
      <c r="BV65" s="194"/>
      <c r="BW65" s="194"/>
      <c r="BX65" s="194"/>
      <c r="BZ65" s="194"/>
      <c r="CA65" s="194"/>
    </row>
    <row r="66" spans="2:79" s="365" customFormat="1" ht="3.2" customHeight="1" x14ac:dyDescent="0.2">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522"/>
      <c r="AH66" s="522"/>
      <c r="AI66" s="522"/>
      <c r="AJ66" s="522"/>
      <c r="AK66" s="522"/>
      <c r="AL66" s="522"/>
      <c r="AM66" s="522"/>
      <c r="AN66" s="522"/>
      <c r="AO66" s="522"/>
      <c r="AP66" s="522"/>
      <c r="AQ66" s="522"/>
      <c r="AR66" s="194"/>
      <c r="AS66" s="194"/>
      <c r="AT66" s="194"/>
      <c r="AU66" s="194"/>
      <c r="BH66" s="194"/>
      <c r="BI66" s="194"/>
      <c r="BJ66" s="194"/>
      <c r="BK66" s="194"/>
      <c r="BL66" s="194"/>
      <c r="BM66" s="194"/>
      <c r="BN66" s="194"/>
      <c r="BO66" s="194"/>
      <c r="BP66" s="194"/>
      <c r="BQ66" s="194"/>
      <c r="BR66" s="194"/>
      <c r="BS66" s="194"/>
      <c r="BT66" s="194"/>
      <c r="BU66" s="194"/>
      <c r="BV66" s="194"/>
      <c r="BW66" s="194"/>
      <c r="BX66" s="194"/>
      <c r="BZ66" s="194"/>
      <c r="CA66" s="194"/>
    </row>
    <row r="67" spans="2:79" s="365" customFormat="1" ht="10.15" customHeight="1" x14ac:dyDescent="0.2">
      <c r="B67" s="194" t="s">
        <v>1178</v>
      </c>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699">
        <f>'KdU-Berechnung'!AG48</f>
        <v>0</v>
      </c>
      <c r="AH67" s="699"/>
      <c r="AI67" s="699"/>
      <c r="AJ67" s="699"/>
      <c r="AK67" s="699"/>
      <c r="AL67" s="699"/>
      <c r="AM67" s="699"/>
      <c r="AN67" s="699"/>
      <c r="AO67" s="699"/>
      <c r="AP67" s="699"/>
      <c r="AQ67" s="699"/>
      <c r="AR67" s="194"/>
      <c r="AS67" s="194"/>
      <c r="AT67" s="194"/>
      <c r="AU67" s="194"/>
      <c r="BH67" s="194"/>
      <c r="BI67" s="194"/>
      <c r="BJ67" s="194"/>
      <c r="BK67" s="194"/>
      <c r="BL67" s="194"/>
      <c r="BM67" s="194"/>
      <c r="BN67" s="194"/>
      <c r="BO67" s="194"/>
      <c r="BP67" s="194"/>
      <c r="BQ67" s="194"/>
      <c r="BR67" s="194"/>
      <c r="BS67" s="194"/>
      <c r="BT67" s="194"/>
      <c r="BU67" s="194"/>
      <c r="BV67" s="194"/>
      <c r="BW67" s="194"/>
      <c r="BX67" s="194"/>
      <c r="BZ67" s="194"/>
      <c r="CA67" s="194"/>
    </row>
    <row r="68" spans="2:79" s="365" customFormat="1" ht="10.15" customHeight="1" x14ac:dyDescent="0.2">
      <c r="B68" s="194"/>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522"/>
      <c r="AH68" s="522"/>
      <c r="AI68" s="522"/>
      <c r="AJ68" s="522"/>
      <c r="AK68" s="522"/>
      <c r="AL68" s="522"/>
      <c r="AM68" s="522"/>
      <c r="AN68" s="522"/>
      <c r="AO68" s="522"/>
      <c r="AP68" s="522"/>
      <c r="AQ68" s="522"/>
      <c r="AR68" s="194"/>
      <c r="AS68" s="194"/>
      <c r="AT68" s="194"/>
      <c r="AU68" s="194"/>
      <c r="BH68" s="194"/>
      <c r="BI68" s="194"/>
      <c r="BJ68" s="194"/>
      <c r="BK68" s="194"/>
      <c r="BL68" s="194"/>
      <c r="BM68" s="194"/>
      <c r="BN68" s="194"/>
      <c r="BO68" s="194"/>
      <c r="BP68" s="194"/>
      <c r="BQ68" s="194"/>
      <c r="BR68" s="194"/>
      <c r="BS68" s="194"/>
      <c r="BT68" s="194"/>
      <c r="BU68" s="194"/>
      <c r="BV68" s="194"/>
      <c r="BW68" s="194"/>
      <c r="BX68" s="194"/>
      <c r="BZ68" s="194"/>
      <c r="CA68" s="194"/>
    </row>
    <row r="69" spans="2:79" s="365" customFormat="1" ht="10.15" customHeight="1" x14ac:dyDescent="0.2">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522"/>
      <c r="AH69" s="522"/>
      <c r="AI69" s="522"/>
      <c r="AJ69" s="522"/>
      <c r="AK69" s="522"/>
      <c r="AL69" s="522"/>
      <c r="AM69" s="522"/>
      <c r="AN69" s="522"/>
      <c r="AO69" s="522"/>
      <c r="AP69" s="522"/>
      <c r="AQ69" s="522"/>
      <c r="AR69" s="194"/>
      <c r="AS69" s="194"/>
      <c r="AT69" s="194"/>
      <c r="AU69" s="194"/>
      <c r="BH69" s="194"/>
      <c r="BI69" s="194"/>
      <c r="BJ69" s="194"/>
      <c r="BK69" s="194"/>
      <c r="BL69" s="194"/>
      <c r="BM69" s="194"/>
      <c r="BN69" s="194"/>
      <c r="BO69" s="194"/>
      <c r="BP69" s="194"/>
      <c r="BQ69" s="194"/>
      <c r="BR69" s="194"/>
      <c r="BS69" s="194"/>
      <c r="BT69" s="194"/>
      <c r="BU69" s="194"/>
      <c r="BV69" s="194"/>
      <c r="BW69" s="194"/>
      <c r="BX69" s="194"/>
      <c r="BZ69" s="194"/>
      <c r="CA69" s="194"/>
    </row>
    <row r="70" spans="2:79" s="365" customFormat="1" ht="10.15" customHeight="1" x14ac:dyDescent="0.2">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522"/>
      <c r="AH70" s="522"/>
      <c r="AI70" s="522"/>
      <c r="AJ70" s="522"/>
      <c r="AK70" s="522"/>
      <c r="AL70" s="522"/>
      <c r="AM70" s="522"/>
      <c r="AN70" s="522"/>
      <c r="AO70" s="522"/>
      <c r="AP70" s="522"/>
      <c r="AQ70" s="522"/>
      <c r="AR70" s="194"/>
      <c r="AS70" s="194"/>
      <c r="AT70" s="194"/>
      <c r="AU70" s="194"/>
      <c r="BH70" s="194"/>
      <c r="BI70" s="194"/>
      <c r="BJ70" s="194"/>
      <c r="BK70" s="194"/>
      <c r="BL70" s="194"/>
      <c r="BM70" s="194"/>
      <c r="BN70" s="194"/>
      <c r="BO70" s="194"/>
      <c r="BP70" s="194"/>
      <c r="BQ70" s="194"/>
      <c r="BR70" s="194"/>
      <c r="BS70" s="194"/>
      <c r="BT70" s="194"/>
      <c r="BU70" s="194"/>
      <c r="BV70" s="194"/>
      <c r="BW70" s="194"/>
      <c r="BX70" s="194"/>
      <c r="BZ70" s="194"/>
      <c r="CA70" s="194"/>
    </row>
    <row r="71" spans="2:79" s="365" customFormat="1" ht="10.15" customHeight="1" x14ac:dyDescent="0.2">
      <c r="B71" s="194"/>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522"/>
      <c r="AH71" s="522"/>
      <c r="AI71" s="522"/>
      <c r="AJ71" s="522"/>
      <c r="AK71" s="522"/>
      <c r="AL71" s="522"/>
      <c r="AM71" s="522"/>
      <c r="AN71" s="522"/>
      <c r="AO71" s="522"/>
      <c r="AP71" s="522"/>
      <c r="AQ71" s="522"/>
      <c r="AR71" s="194"/>
      <c r="AS71" s="194"/>
      <c r="AT71" s="194"/>
      <c r="AU71" s="194"/>
      <c r="BH71" s="194"/>
      <c r="BI71" s="194"/>
      <c r="BJ71" s="194"/>
      <c r="BK71" s="194"/>
      <c r="BL71" s="194"/>
      <c r="BM71" s="194"/>
      <c r="BN71" s="194"/>
      <c r="BO71" s="194"/>
      <c r="BP71" s="194"/>
      <c r="BQ71" s="194"/>
      <c r="BR71" s="194"/>
      <c r="BS71" s="194"/>
      <c r="BT71" s="194"/>
      <c r="BU71" s="194"/>
      <c r="BV71" s="194"/>
      <c r="BW71" s="194"/>
      <c r="BX71" s="194"/>
      <c r="BZ71" s="194"/>
      <c r="CA71" s="194"/>
    </row>
    <row r="72" spans="2:79" s="365" customFormat="1" ht="10.15" customHeight="1" x14ac:dyDescent="0.2">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522"/>
      <c r="AH72" s="522"/>
      <c r="AI72" s="522"/>
      <c r="AJ72" s="522"/>
      <c r="AK72" s="522"/>
      <c r="AL72" s="522"/>
      <c r="AM72" s="522"/>
      <c r="AN72" s="522"/>
      <c r="AO72" s="522"/>
      <c r="AP72" s="522"/>
      <c r="AQ72" s="522"/>
      <c r="AR72" s="194"/>
      <c r="AS72" s="194"/>
      <c r="AT72" s="194"/>
      <c r="AU72" s="194"/>
      <c r="BH72" s="194"/>
      <c r="BI72" s="194"/>
      <c r="BJ72" s="194"/>
      <c r="BK72" s="194"/>
      <c r="BL72" s="194"/>
      <c r="BM72" s="194"/>
      <c r="BN72" s="194"/>
      <c r="BO72" s="194"/>
      <c r="BP72" s="194"/>
      <c r="BQ72" s="194"/>
      <c r="BR72" s="194"/>
      <c r="BS72" s="194"/>
      <c r="BT72" s="194"/>
      <c r="BU72" s="194"/>
      <c r="BV72" s="194"/>
      <c r="BW72" s="194"/>
      <c r="BX72" s="194"/>
      <c r="BZ72" s="194"/>
      <c r="CA72" s="194"/>
    </row>
    <row r="73" spans="2:79" s="365" customFormat="1" ht="10.15" customHeight="1" x14ac:dyDescent="0.2">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522"/>
      <c r="AH73" s="522"/>
      <c r="AI73" s="522"/>
      <c r="AJ73" s="522"/>
      <c r="AK73" s="522"/>
      <c r="AL73" s="522"/>
      <c r="AM73" s="522"/>
      <c r="AN73" s="522"/>
      <c r="AO73" s="522"/>
      <c r="AP73" s="522"/>
      <c r="AQ73" s="522"/>
      <c r="AR73" s="194"/>
      <c r="AS73" s="194"/>
      <c r="AT73" s="194"/>
      <c r="AU73" s="194"/>
      <c r="BH73" s="194"/>
      <c r="BI73" s="194"/>
      <c r="BJ73" s="194"/>
      <c r="BK73" s="194"/>
      <c r="BL73" s="194"/>
      <c r="BM73" s="194"/>
      <c r="BN73" s="194"/>
      <c r="BO73" s="194"/>
      <c r="BP73" s="194"/>
      <c r="BQ73" s="194"/>
      <c r="BR73" s="194"/>
      <c r="BS73" s="194"/>
      <c r="BT73" s="194"/>
      <c r="BU73" s="194"/>
      <c r="BV73" s="194"/>
      <c r="BW73" s="194"/>
      <c r="BX73" s="194"/>
      <c r="BZ73" s="194"/>
      <c r="CA73" s="194"/>
    </row>
    <row r="74" spans="2:79" s="365" customFormat="1" ht="10.15" customHeight="1" x14ac:dyDescent="0.2">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522"/>
      <c r="AH74" s="522"/>
      <c r="AI74" s="522"/>
      <c r="AJ74" s="522"/>
      <c r="AK74" s="522"/>
      <c r="AL74" s="522"/>
      <c r="AM74" s="522"/>
      <c r="AN74" s="522"/>
      <c r="AO74" s="522"/>
      <c r="AP74" s="522"/>
      <c r="AQ74" s="522"/>
      <c r="AR74" s="194"/>
      <c r="AS74" s="194"/>
      <c r="AT74" s="194"/>
      <c r="AU74" s="194"/>
      <c r="BH74" s="194"/>
      <c r="BI74" s="194"/>
      <c r="BJ74" s="194"/>
      <c r="BK74" s="194"/>
      <c r="BL74" s="194"/>
      <c r="BM74" s="194"/>
      <c r="BN74" s="194"/>
      <c r="BO74" s="194"/>
      <c r="BP74" s="194"/>
      <c r="BQ74" s="194"/>
      <c r="BR74" s="194"/>
      <c r="BS74" s="194"/>
      <c r="BT74" s="194"/>
      <c r="BU74" s="194"/>
      <c r="BV74" s="194"/>
      <c r="BW74" s="194"/>
      <c r="BX74" s="194"/>
      <c r="BZ74" s="194"/>
      <c r="CA74" s="194"/>
    </row>
    <row r="75" spans="2:79" s="365" customFormat="1" ht="10.15" customHeight="1" x14ac:dyDescent="0.2">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522"/>
      <c r="AH75" s="522"/>
      <c r="AI75" s="522"/>
      <c r="AJ75" s="522"/>
      <c r="AK75" s="522"/>
      <c r="AL75" s="522"/>
      <c r="AM75" s="522"/>
      <c r="AN75" s="522"/>
      <c r="AO75" s="522"/>
      <c r="AP75" s="522"/>
      <c r="AQ75" s="522"/>
      <c r="AR75" s="194"/>
      <c r="AS75" s="194"/>
      <c r="AT75" s="194"/>
      <c r="AU75" s="194"/>
      <c r="BH75" s="194"/>
      <c r="BI75" s="194"/>
      <c r="BJ75" s="194"/>
      <c r="BK75" s="194"/>
      <c r="BL75" s="194"/>
      <c r="BM75" s="194"/>
      <c r="BN75" s="194"/>
      <c r="BO75" s="194"/>
      <c r="BP75" s="194"/>
      <c r="BQ75" s="194"/>
      <c r="BR75" s="194"/>
      <c r="BS75" s="194"/>
      <c r="BT75" s="194"/>
      <c r="BU75" s="194"/>
      <c r="BV75" s="194"/>
      <c r="BW75" s="194"/>
      <c r="BX75" s="194"/>
      <c r="BZ75" s="194"/>
      <c r="CA75" s="194"/>
    </row>
    <row r="76" spans="2:79" s="365" customFormat="1" ht="10.15" customHeight="1" x14ac:dyDescent="0.2">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522"/>
      <c r="AH76" s="522"/>
      <c r="AI76" s="522"/>
      <c r="AJ76" s="522"/>
      <c r="AK76" s="522"/>
      <c r="AL76" s="522"/>
      <c r="AM76" s="522"/>
      <c r="AN76" s="522"/>
      <c r="AO76" s="522"/>
      <c r="AP76" s="522"/>
      <c r="AQ76" s="522"/>
      <c r="AR76" s="194"/>
      <c r="AS76" s="194"/>
      <c r="AT76" s="194"/>
      <c r="AU76" s="194"/>
      <c r="BH76" s="194"/>
      <c r="BI76" s="194"/>
      <c r="BJ76" s="194"/>
      <c r="BK76" s="194"/>
      <c r="BL76" s="194"/>
      <c r="BM76" s="194"/>
      <c r="BN76" s="194"/>
      <c r="BO76" s="194"/>
      <c r="BP76" s="194"/>
      <c r="BQ76" s="194"/>
      <c r="BR76" s="194"/>
      <c r="BS76" s="194"/>
      <c r="BT76" s="194"/>
      <c r="BU76" s="194"/>
      <c r="BV76" s="194"/>
      <c r="BW76" s="194"/>
      <c r="BX76" s="194"/>
      <c r="BZ76" s="194"/>
      <c r="CA76" s="194"/>
    </row>
    <row r="77" spans="2:79" s="365" customFormat="1" ht="10.15" customHeight="1" x14ac:dyDescent="0.2">
      <c r="B77" s="194"/>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522"/>
      <c r="AH77" s="522"/>
      <c r="AI77" s="522"/>
      <c r="AJ77" s="522"/>
      <c r="AK77" s="522"/>
      <c r="AL77" s="522"/>
      <c r="AM77" s="522"/>
      <c r="AN77" s="522"/>
      <c r="AO77" s="522"/>
      <c r="AP77" s="522"/>
      <c r="AQ77" s="522"/>
      <c r="AR77" s="194"/>
      <c r="AS77" s="194"/>
      <c r="AT77" s="194"/>
      <c r="AU77" s="194"/>
      <c r="BH77" s="194"/>
      <c r="BI77" s="194"/>
      <c r="BJ77" s="194"/>
      <c r="BK77" s="194"/>
      <c r="BL77" s="194"/>
      <c r="BM77" s="194"/>
      <c r="BN77" s="194"/>
      <c r="BO77" s="194"/>
      <c r="BP77" s="194"/>
      <c r="BQ77" s="194"/>
      <c r="BR77" s="194"/>
      <c r="BS77" s="194"/>
      <c r="BT77" s="194"/>
      <c r="BU77" s="194"/>
      <c r="BV77" s="194"/>
      <c r="BW77" s="194"/>
      <c r="BX77" s="194"/>
      <c r="BZ77" s="194"/>
      <c r="CA77" s="194"/>
    </row>
    <row r="78" spans="2:79" s="365" customFormat="1" ht="10.15" customHeight="1" x14ac:dyDescent="0.2">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522"/>
      <c r="AH78" s="522"/>
      <c r="AI78" s="522"/>
      <c r="AJ78" s="522"/>
      <c r="AK78" s="522"/>
      <c r="AL78" s="522"/>
      <c r="AM78" s="522"/>
      <c r="AN78" s="522"/>
      <c r="AO78" s="522"/>
      <c r="AP78" s="522"/>
      <c r="AQ78" s="522"/>
      <c r="AR78" s="194"/>
      <c r="AS78" s="194"/>
      <c r="AT78" s="194"/>
      <c r="AU78" s="194"/>
      <c r="BH78" s="194"/>
      <c r="BI78" s="194"/>
      <c r="BJ78" s="194"/>
      <c r="BK78" s="194"/>
      <c r="BL78" s="194"/>
      <c r="BM78" s="194"/>
      <c r="BN78" s="194"/>
      <c r="BO78" s="194"/>
      <c r="BP78" s="194"/>
      <c r="BQ78" s="194"/>
      <c r="BR78" s="194"/>
      <c r="BS78" s="194"/>
      <c r="BT78" s="194"/>
      <c r="BU78" s="194"/>
      <c r="BV78" s="194"/>
      <c r="BW78" s="194"/>
      <c r="BX78" s="194"/>
      <c r="BZ78" s="194"/>
      <c r="CA78" s="194"/>
    </row>
    <row r="79" spans="2:79" s="365" customFormat="1" ht="10.15" customHeight="1" x14ac:dyDescent="0.2">
      <c r="B79" s="194"/>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522"/>
      <c r="AH79" s="522"/>
      <c r="AI79" s="522"/>
      <c r="AJ79" s="522"/>
      <c r="AK79" s="522"/>
      <c r="AL79" s="522"/>
      <c r="AM79" s="522"/>
      <c r="AN79" s="522"/>
      <c r="AO79" s="522"/>
      <c r="AP79" s="522"/>
      <c r="AQ79" s="522"/>
      <c r="AR79" s="194"/>
      <c r="AS79" s="194"/>
      <c r="AT79" s="194"/>
      <c r="AU79" s="194"/>
      <c r="BH79" s="194"/>
      <c r="BI79" s="194"/>
      <c r="BJ79" s="194"/>
      <c r="BK79" s="194"/>
      <c r="BL79" s="194"/>
      <c r="BM79" s="194"/>
      <c r="BN79" s="194"/>
      <c r="BO79" s="194"/>
      <c r="BP79" s="194"/>
      <c r="BQ79" s="194"/>
      <c r="BR79" s="194"/>
      <c r="BS79" s="194"/>
      <c r="BT79" s="194"/>
      <c r="BU79" s="194"/>
      <c r="BV79" s="194"/>
      <c r="BW79" s="194"/>
      <c r="BX79" s="194"/>
      <c r="BZ79" s="194"/>
      <c r="CA79" s="194"/>
    </row>
    <row r="80" spans="2:79" s="365" customFormat="1" ht="10.15" customHeight="1" x14ac:dyDescent="0.2">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522"/>
      <c r="AH80" s="522"/>
      <c r="AI80" s="522"/>
      <c r="AJ80" s="522"/>
      <c r="AK80" s="522"/>
      <c r="AL80" s="522"/>
      <c r="AM80" s="522"/>
      <c r="AN80" s="522"/>
      <c r="AO80" s="522"/>
      <c r="AP80" s="522"/>
      <c r="AQ80" s="522"/>
      <c r="AR80" s="194"/>
      <c r="AS80" s="194"/>
      <c r="AT80" s="194"/>
      <c r="AU80" s="194"/>
      <c r="BH80" s="194"/>
      <c r="BI80" s="194"/>
      <c r="BJ80" s="194"/>
      <c r="BK80" s="194"/>
      <c r="BL80" s="194"/>
      <c r="BM80" s="194"/>
      <c r="BN80" s="194"/>
      <c r="BO80" s="194"/>
      <c r="BP80" s="194"/>
      <c r="BQ80" s="194"/>
      <c r="BR80" s="194"/>
      <c r="BS80" s="194"/>
      <c r="BT80" s="194"/>
      <c r="BU80" s="194"/>
      <c r="BV80" s="194"/>
      <c r="BW80" s="194"/>
      <c r="BX80" s="194"/>
      <c r="BZ80" s="194"/>
      <c r="CA80" s="194"/>
    </row>
    <row r="81" spans="2:79" s="365" customFormat="1" ht="10.15" customHeight="1" x14ac:dyDescent="0.2">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522"/>
      <c r="AH81" s="522"/>
      <c r="AI81" s="522"/>
      <c r="AJ81" s="522"/>
      <c r="AK81" s="522"/>
      <c r="AL81" s="522"/>
      <c r="AM81" s="522"/>
      <c r="AN81" s="522"/>
      <c r="AO81" s="522"/>
      <c r="AP81" s="522"/>
      <c r="AQ81" s="522"/>
      <c r="AR81" s="194"/>
      <c r="AS81" s="194"/>
      <c r="AT81" s="194"/>
      <c r="AU81" s="194"/>
      <c r="BH81" s="194"/>
      <c r="BI81" s="194"/>
      <c r="BJ81" s="194"/>
      <c r="BK81" s="194"/>
      <c r="BL81" s="194"/>
      <c r="BM81" s="194"/>
      <c r="BN81" s="194"/>
      <c r="BO81" s="194"/>
      <c r="BP81" s="194"/>
      <c r="BQ81" s="194"/>
      <c r="BR81" s="194"/>
      <c r="BS81" s="194"/>
      <c r="BT81" s="194"/>
      <c r="BU81" s="194"/>
      <c r="BV81" s="194"/>
      <c r="BW81" s="194"/>
      <c r="BX81" s="194"/>
      <c r="BZ81" s="194"/>
      <c r="CA81" s="194"/>
    </row>
    <row r="82" spans="2:79" s="365" customFormat="1" ht="10.15" customHeight="1" x14ac:dyDescent="0.2">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522"/>
      <c r="AH82" s="522"/>
      <c r="AI82" s="522"/>
      <c r="AJ82" s="522"/>
      <c r="AK82" s="522"/>
      <c r="AL82" s="522"/>
      <c r="AM82" s="522"/>
      <c r="AN82" s="522"/>
      <c r="AO82" s="522"/>
      <c r="AP82" s="522"/>
      <c r="AQ82" s="522"/>
      <c r="AR82" s="194"/>
      <c r="AS82" s="194"/>
      <c r="AT82" s="194"/>
      <c r="AU82" s="194"/>
      <c r="BH82" s="194"/>
      <c r="BI82" s="194"/>
      <c r="BJ82" s="194"/>
      <c r="BK82" s="194"/>
      <c r="BL82" s="194"/>
      <c r="BM82" s="194"/>
      <c r="BN82" s="194"/>
      <c r="BO82" s="194"/>
      <c r="BP82" s="194"/>
      <c r="BQ82" s="194"/>
      <c r="BR82" s="194"/>
      <c r="BS82" s="194"/>
      <c r="BT82" s="194"/>
      <c r="BU82" s="194"/>
      <c r="BV82" s="194"/>
      <c r="BW82" s="194"/>
      <c r="BX82" s="194"/>
      <c r="BZ82" s="194"/>
      <c r="CA82" s="194"/>
    </row>
    <row r="83" spans="2:79" s="365" customFormat="1" ht="10.15" customHeight="1" x14ac:dyDescent="0.2">
      <c r="B83" s="194"/>
      <c r="C83" s="194"/>
      <c r="D83" s="194"/>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522"/>
      <c r="AH83" s="522"/>
      <c r="AI83" s="522"/>
      <c r="AJ83" s="522"/>
      <c r="AK83" s="522"/>
      <c r="AL83" s="522"/>
      <c r="AM83" s="522"/>
      <c r="AN83" s="522"/>
      <c r="AO83" s="522"/>
      <c r="AP83" s="522"/>
      <c r="AQ83" s="522"/>
      <c r="AR83" s="194"/>
      <c r="AS83" s="194"/>
      <c r="AT83" s="194"/>
      <c r="AU83" s="194"/>
      <c r="BH83" s="194"/>
      <c r="BI83" s="194"/>
      <c r="BJ83" s="194"/>
      <c r="BK83" s="194"/>
      <c r="BL83" s="194"/>
      <c r="BM83" s="194"/>
      <c r="BN83" s="194"/>
      <c r="BO83" s="194"/>
      <c r="BP83" s="194"/>
      <c r="BQ83" s="194"/>
      <c r="BR83" s="194"/>
      <c r="BS83" s="194"/>
      <c r="BT83" s="194"/>
      <c r="BU83" s="194"/>
      <c r="BV83" s="194"/>
      <c r="BW83" s="194"/>
      <c r="BX83" s="194"/>
      <c r="BZ83" s="194"/>
      <c r="CA83" s="194"/>
    </row>
    <row r="84" spans="2:79" s="365" customFormat="1" ht="10.15" customHeight="1" x14ac:dyDescent="0.2">
      <c r="B84" s="194"/>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522"/>
      <c r="AH84" s="522"/>
      <c r="AI84" s="522"/>
      <c r="AJ84" s="522"/>
      <c r="AK84" s="522"/>
      <c r="AL84" s="522"/>
      <c r="AM84" s="522"/>
      <c r="AN84" s="522"/>
      <c r="AO84" s="522"/>
      <c r="AP84" s="522"/>
      <c r="AQ84" s="522"/>
      <c r="AR84" s="194"/>
      <c r="AS84" s="194"/>
      <c r="AT84" s="194"/>
      <c r="AU84" s="194"/>
      <c r="BH84" s="194"/>
      <c r="BI84" s="194"/>
      <c r="BJ84" s="194"/>
      <c r="BK84" s="194"/>
      <c r="BL84" s="194"/>
      <c r="BM84" s="194"/>
      <c r="BN84" s="194"/>
      <c r="BO84" s="194"/>
      <c r="BP84" s="194"/>
      <c r="BQ84" s="194"/>
      <c r="BR84" s="194"/>
      <c r="BS84" s="194"/>
      <c r="BT84" s="194"/>
      <c r="BU84" s="194"/>
      <c r="BV84" s="194"/>
      <c r="BW84" s="194"/>
      <c r="BX84" s="194"/>
      <c r="BZ84" s="194"/>
      <c r="CA84" s="194"/>
    </row>
    <row r="85" spans="2:79" s="365" customFormat="1" ht="10.15" customHeight="1" x14ac:dyDescent="0.2">
      <c r="B85" s="194"/>
      <c r="C85" s="194"/>
      <c r="D85" s="194"/>
      <c r="E85" s="194"/>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4"/>
      <c r="AJ85" s="194"/>
      <c r="AK85" s="194"/>
      <c r="AL85" s="194"/>
      <c r="AM85" s="194"/>
      <c r="AN85" s="194"/>
      <c r="AO85" s="194"/>
      <c r="AP85" s="194"/>
      <c r="AQ85" s="194"/>
      <c r="AR85" s="194"/>
      <c r="AS85" s="194"/>
      <c r="AT85" s="194"/>
      <c r="AU85" s="194"/>
      <c r="BH85" s="194"/>
      <c r="BI85" s="194"/>
      <c r="BJ85" s="194"/>
      <c r="BK85" s="194"/>
      <c r="BL85" s="194"/>
      <c r="BM85" s="194"/>
      <c r="BN85" s="194"/>
      <c r="BO85" s="194"/>
      <c r="BP85" s="194"/>
      <c r="BQ85" s="194"/>
      <c r="BR85" s="194"/>
      <c r="BS85" s="194"/>
      <c r="BT85" s="194"/>
      <c r="BU85" s="194"/>
      <c r="BV85" s="194"/>
      <c r="BW85" s="194"/>
      <c r="BX85" s="194"/>
      <c r="BY85" s="448" t="s">
        <v>1154</v>
      </c>
      <c r="BZ85" s="194"/>
      <c r="CA85" s="194"/>
    </row>
    <row r="86" spans="2:79" s="365" customFormat="1" ht="15" x14ac:dyDescent="0.25">
      <c r="B86" s="502" t="s">
        <v>1144</v>
      </c>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194"/>
      <c r="AX86" s="194"/>
      <c r="AY86" s="194"/>
      <c r="AZ86" s="194"/>
      <c r="BA86" s="194"/>
      <c r="BB86" s="194"/>
      <c r="BC86" s="194"/>
      <c r="BD86" s="194"/>
      <c r="BE86" s="194"/>
      <c r="BF86" s="194"/>
      <c r="BG86" s="194"/>
      <c r="BH86" s="194"/>
      <c r="BI86" s="194"/>
      <c r="BJ86" s="194"/>
      <c r="BK86" s="194"/>
      <c r="BL86" s="194"/>
      <c r="BM86" s="194"/>
      <c r="BN86" s="194"/>
      <c r="BO86" s="194"/>
      <c r="BP86" s="194"/>
      <c r="BQ86" s="194"/>
      <c r="BR86" s="194"/>
      <c r="BS86" s="194"/>
      <c r="BT86" s="194"/>
      <c r="BU86" s="194"/>
      <c r="BV86" s="194"/>
      <c r="BW86" s="194"/>
      <c r="BX86" s="194"/>
      <c r="BY86" s="194"/>
      <c r="BZ86" s="194"/>
      <c r="CA86" s="194"/>
    </row>
    <row r="87" spans="2:79" s="365" customFormat="1" ht="10.15" customHeight="1" x14ac:dyDescent="0.2">
      <c r="B87" s="194"/>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194"/>
      <c r="BE87" s="194"/>
      <c r="BF87" s="194"/>
      <c r="BG87" s="194"/>
      <c r="BH87" s="194"/>
      <c r="BI87" s="194"/>
      <c r="BJ87" s="194"/>
      <c r="BK87" s="194"/>
      <c r="BL87" s="194"/>
      <c r="BM87" s="194"/>
      <c r="BN87" s="194"/>
      <c r="BO87" s="194"/>
      <c r="BP87" s="194"/>
      <c r="BQ87" s="194"/>
      <c r="BR87" s="194"/>
      <c r="BS87" s="194"/>
      <c r="BT87" s="194"/>
      <c r="BU87" s="194"/>
      <c r="BV87" s="194"/>
      <c r="BW87" s="194"/>
      <c r="BX87" s="194"/>
      <c r="BY87" s="194"/>
      <c r="BZ87" s="194"/>
      <c r="CA87" s="194"/>
    </row>
    <row r="88" spans="2:79" s="365" customFormat="1" ht="10.15" customHeight="1" x14ac:dyDescent="0.2">
      <c r="B88" s="194" t="s">
        <v>333</v>
      </c>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765" t="str">
        <f>Daten!B16</f>
        <v/>
      </c>
      <c r="AA88" s="766"/>
      <c r="AB88" s="766"/>
      <c r="AC88" s="766"/>
      <c r="AD88" s="766"/>
      <c r="AE88" s="766"/>
      <c r="AF88" s="766"/>
      <c r="AG88" s="766"/>
      <c r="AH88" s="766"/>
      <c r="AI88" s="766"/>
      <c r="AJ88" s="767"/>
      <c r="AK88" s="194"/>
      <c r="AL88" s="194"/>
      <c r="AM88" s="194"/>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4"/>
      <c r="BR88" s="194"/>
      <c r="BS88" s="194"/>
      <c r="BT88" s="194"/>
      <c r="BU88" s="194"/>
      <c r="BV88" s="194"/>
      <c r="BW88" s="194"/>
      <c r="BX88" s="194"/>
      <c r="BY88" s="194"/>
      <c r="BZ88" s="194"/>
      <c r="CA88" s="194"/>
    </row>
    <row r="89" spans="2:79" s="365" customFormat="1" ht="8.1" customHeight="1" x14ac:dyDescent="0.2">
      <c r="B89" s="194"/>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4"/>
      <c r="BR89" s="194"/>
      <c r="BS89" s="194"/>
      <c r="BT89" s="194"/>
      <c r="BU89" s="194"/>
      <c r="BV89" s="194"/>
      <c r="BW89" s="194"/>
      <c r="BX89" s="194"/>
      <c r="BY89" s="194"/>
      <c r="BZ89" s="194"/>
      <c r="CA89" s="194"/>
    </row>
    <row r="90" spans="2:79" s="365" customFormat="1" ht="10.15" customHeight="1" x14ac:dyDescent="0.2">
      <c r="B90" s="194" t="s">
        <v>1406</v>
      </c>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768" t="e">
        <f>Daten!F285</f>
        <v>#N/A</v>
      </c>
      <c r="AA90" s="769"/>
      <c r="AB90" s="769"/>
      <c r="AC90" s="769"/>
      <c r="AD90" s="769"/>
      <c r="AE90" s="769"/>
      <c r="AF90" s="769"/>
      <c r="AG90" s="769"/>
      <c r="AH90" s="769"/>
      <c r="AI90" s="769"/>
      <c r="AJ90" s="770"/>
      <c r="AK90" s="194"/>
      <c r="AL90" s="194" t="s">
        <v>938</v>
      </c>
      <c r="AM90" s="194"/>
      <c r="AN90" s="194"/>
      <c r="AO90" s="194"/>
      <c r="AP90" s="194"/>
      <c r="AQ90" s="194"/>
      <c r="AR90" s="194"/>
      <c r="AS90" s="194"/>
      <c r="AT90" s="194"/>
      <c r="AU90" s="194"/>
      <c r="AV90" s="194"/>
      <c r="AW90" s="194"/>
      <c r="AX90" s="194"/>
      <c r="AY90" s="194"/>
      <c r="AZ90" s="194"/>
      <c r="BA90" s="194"/>
      <c r="BB90" s="194"/>
      <c r="BC90" s="194"/>
      <c r="BD90" s="194"/>
      <c r="BE90" s="194"/>
      <c r="BF90" s="194"/>
      <c r="BG90" s="194"/>
      <c r="BH90" s="194"/>
      <c r="BI90" s="194"/>
      <c r="BJ90" s="194"/>
      <c r="BK90" s="194"/>
      <c r="BL90" s="194"/>
      <c r="BM90" s="194"/>
      <c r="BN90" s="194"/>
      <c r="BO90" s="194"/>
      <c r="BP90" s="194"/>
      <c r="BQ90" s="194"/>
      <c r="BR90" s="194"/>
      <c r="BS90" s="194"/>
      <c r="BT90" s="194"/>
      <c r="BU90" s="194"/>
      <c r="BV90" s="194"/>
      <c r="BW90" s="194"/>
      <c r="BX90" s="194"/>
      <c r="BY90" s="194"/>
      <c r="BZ90" s="194"/>
      <c r="CA90" s="194"/>
    </row>
    <row r="91" spans="2:79" s="365" customFormat="1" ht="8.1" customHeight="1" x14ac:dyDescent="0.2">
      <c r="B91" s="194"/>
      <c r="C91" s="194"/>
      <c r="D91" s="194"/>
      <c r="E91" s="194"/>
      <c r="F91" s="194"/>
      <c r="G91" s="194"/>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c r="AR91" s="194"/>
      <c r="AS91" s="194"/>
      <c r="AT91" s="194"/>
      <c r="AU91" s="194"/>
      <c r="AV91" s="194"/>
      <c r="AW91" s="194"/>
      <c r="AX91" s="194"/>
      <c r="AY91" s="194"/>
      <c r="AZ91" s="194"/>
      <c r="BA91" s="194"/>
      <c r="BB91" s="194"/>
      <c r="BC91" s="194"/>
      <c r="BD91" s="194"/>
      <c r="BE91" s="194"/>
      <c r="BF91" s="194"/>
      <c r="BG91" s="194"/>
      <c r="BH91" s="194"/>
      <c r="BI91" s="194"/>
      <c r="BJ91" s="194"/>
      <c r="BK91" s="194"/>
      <c r="BL91" s="194"/>
      <c r="BM91" s="194"/>
      <c r="BN91" s="194"/>
      <c r="BO91" s="194"/>
      <c r="BP91" s="194"/>
      <c r="BQ91" s="194"/>
      <c r="BR91" s="194"/>
      <c r="BS91" s="194"/>
      <c r="BT91" s="194"/>
      <c r="BU91" s="194"/>
      <c r="BV91" s="194"/>
      <c r="BW91" s="194"/>
      <c r="BX91" s="194"/>
      <c r="BY91" s="194"/>
      <c r="BZ91" s="194"/>
      <c r="CA91" s="194"/>
    </row>
    <row r="92" spans="2:79" s="365" customFormat="1" ht="10.15" customHeight="1" x14ac:dyDescent="0.2">
      <c r="B92" s="194" t="s">
        <v>1407</v>
      </c>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765" t="e">
        <f>Daten!E183</f>
        <v>#N/A</v>
      </c>
      <c r="AA92" s="766"/>
      <c r="AB92" s="766"/>
      <c r="AC92" s="766"/>
      <c r="AD92" s="766"/>
      <c r="AE92" s="766"/>
      <c r="AF92" s="766"/>
      <c r="AG92" s="766"/>
      <c r="AH92" s="766"/>
      <c r="AI92" s="766"/>
      <c r="AJ92" s="767"/>
      <c r="AK92" s="194"/>
      <c r="AL92" s="194" t="s">
        <v>938</v>
      </c>
      <c r="AM92" s="194"/>
      <c r="AN92" s="194"/>
      <c r="AO92" s="194"/>
      <c r="AP92" s="194"/>
      <c r="AQ92" s="194"/>
      <c r="AR92" s="194"/>
      <c r="AS92" s="194"/>
      <c r="AT92" s="194"/>
      <c r="AU92" s="194"/>
      <c r="AV92" s="194"/>
      <c r="AW92" s="194"/>
      <c r="AX92" s="194"/>
      <c r="AY92" s="194"/>
      <c r="AZ92" s="194"/>
      <c r="BA92" s="194"/>
      <c r="BB92" s="194"/>
      <c r="BC92" s="194"/>
      <c r="BD92" s="194"/>
      <c r="BE92" s="194"/>
      <c r="BF92" s="194"/>
      <c r="BG92" s="194"/>
      <c r="BH92" s="194"/>
      <c r="BI92" s="194"/>
      <c r="BJ92" s="194"/>
      <c r="BK92" s="194"/>
      <c r="BL92" s="194"/>
      <c r="BM92" s="194"/>
      <c r="BN92" s="194"/>
      <c r="BO92" s="194"/>
      <c r="BP92" s="194"/>
      <c r="BQ92" s="194"/>
      <c r="BR92" s="194"/>
      <c r="BS92" s="194"/>
      <c r="BT92" s="194"/>
      <c r="BU92" s="194"/>
      <c r="BV92" s="194"/>
      <c r="BW92" s="194"/>
      <c r="BX92" s="194"/>
      <c r="BY92" s="194"/>
      <c r="BZ92" s="194"/>
      <c r="CA92" s="194"/>
    </row>
    <row r="93" spans="2:79" s="365" customFormat="1" ht="8.1" customHeight="1" x14ac:dyDescent="0.2">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c r="AR93" s="194"/>
      <c r="AS93" s="194"/>
      <c r="AT93" s="194"/>
      <c r="AU93" s="194"/>
      <c r="AV93" s="194"/>
      <c r="AW93" s="194"/>
      <c r="AX93" s="194"/>
      <c r="AY93" s="194"/>
      <c r="AZ93" s="194"/>
      <c r="BA93" s="194"/>
      <c r="BB93" s="194"/>
      <c r="BC93" s="194"/>
      <c r="BD93" s="194"/>
      <c r="BE93" s="194"/>
      <c r="BF93" s="194"/>
      <c r="BG93" s="194"/>
      <c r="BH93" s="194"/>
      <c r="BI93" s="194"/>
      <c r="BJ93" s="194"/>
      <c r="BK93" s="194"/>
      <c r="BL93" s="194"/>
      <c r="BM93" s="194"/>
      <c r="BN93" s="194"/>
      <c r="BO93" s="194"/>
      <c r="BP93" s="194"/>
      <c r="BQ93" s="194"/>
      <c r="BR93" s="194"/>
      <c r="BS93" s="194"/>
      <c r="BT93" s="194"/>
      <c r="BU93" s="194"/>
      <c r="BV93" s="194"/>
      <c r="BW93" s="194"/>
      <c r="BX93" s="194"/>
      <c r="BY93" s="194"/>
      <c r="BZ93" s="194"/>
      <c r="CA93" s="194"/>
    </row>
    <row r="94" spans="2:79" s="365" customFormat="1" ht="10.15" customHeight="1" x14ac:dyDescent="0.2">
      <c r="B94" s="194" t="s">
        <v>1058</v>
      </c>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771" t="str">
        <f>IF(Daten!C142=2,"Stufe 2",IF(Daten!C142=1,"Stufe 1",IF(Daten!C142=0,"kein Klimabonus","")))</f>
        <v>kein Klimabonus</v>
      </c>
      <c r="AA94" s="772"/>
      <c r="AB94" s="772"/>
      <c r="AC94" s="772"/>
      <c r="AD94" s="772"/>
      <c r="AE94" s="772"/>
      <c r="AF94" s="772"/>
      <c r="AG94" s="772"/>
      <c r="AH94" s="772"/>
      <c r="AI94" s="772"/>
      <c r="AJ94" s="773"/>
      <c r="AK94" s="194"/>
      <c r="AL94" s="194" t="s">
        <v>939</v>
      </c>
      <c r="AM94" s="194"/>
      <c r="AN94" s="194"/>
      <c r="AO94" s="194"/>
      <c r="AP94" s="194"/>
      <c r="AQ94" s="194"/>
      <c r="AR94" s="194"/>
      <c r="AS94" s="194"/>
      <c r="AT94" s="194"/>
      <c r="AU94" s="194"/>
      <c r="AV94" s="194"/>
      <c r="AW94" s="194"/>
      <c r="AX94" s="194"/>
      <c r="AY94" s="194"/>
      <c r="AZ94" s="194"/>
      <c r="BA94" s="194"/>
      <c r="BB94" s="194"/>
      <c r="BC94" s="194"/>
      <c r="BD94" s="194"/>
      <c r="BE94" s="194"/>
      <c r="BF94" s="194"/>
      <c r="BG94" s="194"/>
      <c r="BH94" s="194"/>
      <c r="BI94" s="194"/>
      <c r="BJ94" s="194"/>
      <c r="BK94" s="194"/>
      <c r="BL94" s="194"/>
      <c r="BM94" s="194"/>
      <c r="BN94" s="194"/>
      <c r="BO94" s="194"/>
      <c r="BP94" s="194"/>
      <c r="BQ94" s="194"/>
      <c r="BR94" s="194"/>
      <c r="BS94" s="194"/>
      <c r="BT94" s="194"/>
      <c r="BU94" s="194"/>
      <c r="BV94" s="194"/>
      <c r="BW94" s="194"/>
      <c r="BX94" s="194"/>
      <c r="BY94" s="194"/>
      <c r="BZ94" s="194"/>
      <c r="CA94" s="194"/>
    </row>
    <row r="95" spans="2:79" s="365" customFormat="1" ht="4.7" customHeight="1" x14ac:dyDescent="0.2">
      <c r="B95" s="194"/>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c r="AR95" s="194"/>
      <c r="AS95" s="194"/>
      <c r="AT95" s="194"/>
      <c r="AU95" s="194"/>
      <c r="AV95" s="194"/>
      <c r="AW95" s="194"/>
      <c r="AX95" s="194"/>
      <c r="AY95" s="194"/>
      <c r="AZ95" s="194"/>
      <c r="BA95" s="194"/>
      <c r="BB95" s="194"/>
      <c r="BC95" s="194"/>
      <c r="BD95" s="194"/>
      <c r="BE95" s="194"/>
      <c r="BF95" s="194"/>
      <c r="BG95" s="194"/>
      <c r="BH95" s="194"/>
      <c r="BI95" s="194"/>
      <c r="BJ95" s="194"/>
      <c r="BK95" s="194"/>
      <c r="BL95" s="194"/>
      <c r="BM95" s="194"/>
      <c r="BN95" s="194"/>
      <c r="BO95" s="194"/>
      <c r="BP95" s="194"/>
      <c r="BQ95" s="194"/>
      <c r="BR95" s="194"/>
      <c r="BS95" s="194"/>
      <c r="BT95" s="194"/>
      <c r="BU95" s="194"/>
      <c r="BV95" s="194"/>
      <c r="BW95" s="194"/>
      <c r="BX95" s="194"/>
      <c r="BY95" s="194"/>
      <c r="BZ95" s="194"/>
      <c r="CA95" s="194"/>
    </row>
    <row r="96" spans="2:79" s="365" customFormat="1" ht="10.15" customHeight="1" x14ac:dyDescent="0.2">
      <c r="B96" s="774" t="str">
        <f>IF(Daten!D86&lt;&gt;12,"Alle Berechnungen bezogen auf "&amp;TEXT(Daten!D86,0)&amp;" Heizkostenabschläge pro Jahr!","")</f>
        <v>Alle Berechnungen bezogen auf nicht ausgewählt Heizkostenabschläge pro Jahr!</v>
      </c>
      <c r="C96" s="774"/>
      <c r="D96" s="774"/>
      <c r="E96" s="774"/>
      <c r="F96" s="774"/>
      <c r="G96" s="774"/>
      <c r="H96" s="774"/>
      <c r="I96" s="774"/>
      <c r="J96" s="774"/>
      <c r="K96" s="774"/>
      <c r="L96" s="774"/>
      <c r="M96" s="774"/>
      <c r="N96" s="774"/>
      <c r="O96" s="774"/>
      <c r="P96" s="774"/>
      <c r="Q96" s="774"/>
      <c r="R96" s="774"/>
      <c r="S96" s="774"/>
      <c r="T96" s="774"/>
      <c r="U96" s="774"/>
      <c r="V96" s="774"/>
      <c r="W96" s="774"/>
      <c r="X96" s="774"/>
      <c r="Y96" s="774"/>
      <c r="Z96" s="774"/>
      <c r="AA96" s="774"/>
      <c r="AB96" s="774"/>
      <c r="AC96" s="774"/>
      <c r="AD96" s="774"/>
      <c r="AE96" s="774"/>
      <c r="AF96" s="774"/>
      <c r="AG96" s="774"/>
      <c r="AH96" s="774"/>
      <c r="AI96" s="774"/>
      <c r="AJ96" s="774"/>
      <c r="AK96" s="774"/>
      <c r="AL96" s="774"/>
      <c r="AM96" s="774"/>
      <c r="AN96" s="774"/>
      <c r="AO96" s="774"/>
      <c r="AP96" s="774"/>
      <c r="AQ96" s="774"/>
      <c r="AR96" s="774"/>
      <c r="AS96" s="774"/>
      <c r="AT96" s="774"/>
      <c r="AU96" s="774"/>
      <c r="AV96" s="774"/>
      <c r="AW96" s="774"/>
      <c r="AX96" s="774"/>
      <c r="AY96" s="774"/>
      <c r="AZ96" s="774"/>
      <c r="BA96" s="774"/>
      <c r="BB96" s="774"/>
      <c r="BC96" s="774"/>
      <c r="BD96" s="774"/>
      <c r="BE96" s="774"/>
      <c r="BF96" s="774"/>
      <c r="BG96" s="774"/>
      <c r="BH96" s="774"/>
      <c r="BI96" s="774"/>
      <c r="BJ96" s="774"/>
      <c r="BK96" s="774"/>
      <c r="BL96" s="774"/>
      <c r="BM96" s="774"/>
      <c r="BN96" s="774"/>
      <c r="BO96" s="774"/>
      <c r="BP96" s="774"/>
      <c r="BQ96" s="774"/>
      <c r="BR96" s="774"/>
      <c r="BS96" s="774"/>
      <c r="BT96" s="774"/>
      <c r="BU96" s="774"/>
      <c r="BV96" s="774"/>
      <c r="BW96" s="774"/>
      <c r="BX96" s="774"/>
      <c r="BY96" s="774"/>
      <c r="BZ96" s="194"/>
      <c r="CA96" s="194"/>
    </row>
    <row r="97" spans="2:79" s="365" customFormat="1" ht="4.7" customHeight="1" x14ac:dyDescent="0.2">
      <c r="B97" s="194"/>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4"/>
      <c r="BR97" s="194"/>
      <c r="BS97" s="194"/>
      <c r="BT97" s="194"/>
      <c r="BU97" s="194"/>
      <c r="BV97" s="194"/>
      <c r="BW97" s="194"/>
      <c r="BX97" s="194"/>
      <c r="BY97" s="194"/>
      <c r="BZ97" s="194"/>
      <c r="CA97" s="194"/>
    </row>
    <row r="98" spans="2:79" s="365" customFormat="1" ht="13.7" customHeight="1" x14ac:dyDescent="0.2">
      <c r="B98" s="450"/>
      <c r="C98" s="428"/>
      <c r="D98" s="428"/>
      <c r="E98" s="428"/>
      <c r="F98" s="428"/>
      <c r="G98" s="451"/>
      <c r="H98" s="451"/>
      <c r="I98" s="451"/>
      <c r="J98" s="451"/>
      <c r="K98" s="451"/>
      <c r="L98" s="451"/>
      <c r="M98" s="451"/>
      <c r="N98" s="451"/>
      <c r="O98" s="428"/>
      <c r="P98" s="764" t="s">
        <v>811</v>
      </c>
      <c r="Q98" s="764"/>
      <c r="R98" s="764"/>
      <c r="S98" s="764"/>
      <c r="T98" s="764"/>
      <c r="U98" s="764"/>
      <c r="V98" s="764"/>
      <c r="W98" s="451"/>
      <c r="X98" s="451"/>
      <c r="Y98" s="451"/>
      <c r="Z98" s="451"/>
      <c r="AA98" s="451"/>
      <c r="AB98" s="451"/>
      <c r="AC98" s="451"/>
      <c r="AD98" s="451"/>
      <c r="AE98" s="451"/>
      <c r="AF98" s="451"/>
      <c r="AG98" s="451"/>
      <c r="AH98" s="451"/>
      <c r="AI98" s="451"/>
      <c r="AJ98" s="451"/>
      <c r="AK98" s="451"/>
      <c r="AL98" s="452"/>
      <c r="AM98" s="195"/>
      <c r="AN98" s="195"/>
      <c r="AO98" s="453"/>
      <c r="AP98" s="428"/>
      <c r="AQ98" s="428"/>
      <c r="AR98" s="428"/>
      <c r="AS98" s="428"/>
      <c r="AT98" s="428"/>
      <c r="AU98" s="428"/>
      <c r="AV98" s="451"/>
      <c r="AW98" s="451"/>
      <c r="AX98" s="451"/>
      <c r="AY98" s="451"/>
      <c r="AZ98" s="451"/>
      <c r="BA98" s="451"/>
      <c r="BB98" s="451"/>
      <c r="BC98" s="764" t="s">
        <v>910</v>
      </c>
      <c r="BD98" s="764"/>
      <c r="BE98" s="764"/>
      <c r="BF98" s="764"/>
      <c r="BG98" s="764"/>
      <c r="BH98" s="764"/>
      <c r="BI98" s="764"/>
      <c r="BJ98" s="764"/>
      <c r="BK98" s="451"/>
      <c r="BL98" s="451"/>
      <c r="BM98" s="451"/>
      <c r="BN98" s="451"/>
      <c r="BO98" s="451"/>
      <c r="BP98" s="451"/>
      <c r="BQ98" s="451"/>
      <c r="BR98" s="451"/>
      <c r="BS98" s="451"/>
      <c r="BT98" s="451"/>
      <c r="BU98" s="451"/>
      <c r="BV98" s="451"/>
      <c r="BW98" s="451"/>
      <c r="BX98" s="451"/>
      <c r="BY98" s="452"/>
      <c r="BZ98" s="194"/>
      <c r="CA98" s="194"/>
    </row>
    <row r="99" spans="2:79" s="365" customFormat="1" ht="8.1" customHeight="1" x14ac:dyDescent="0.2">
      <c r="B99" s="431"/>
      <c r="C99" s="195"/>
      <c r="D99" s="195"/>
      <c r="E99" s="195"/>
      <c r="F99" s="195"/>
      <c r="G99" s="195"/>
      <c r="H99" s="195"/>
      <c r="I99" s="195"/>
      <c r="J99" s="195"/>
      <c r="K99" s="195"/>
      <c r="L99" s="195"/>
      <c r="M99" s="195"/>
      <c r="N99" s="194"/>
      <c r="O99" s="194"/>
      <c r="P99" s="194"/>
      <c r="Q99" s="194"/>
      <c r="R99" s="194"/>
      <c r="S99" s="194"/>
      <c r="T99" s="194"/>
      <c r="U99" s="194"/>
      <c r="V99" s="194"/>
      <c r="W99" s="195"/>
      <c r="X99" s="195"/>
      <c r="Y99" s="195"/>
      <c r="Z99" s="195"/>
      <c r="AA99" s="195"/>
      <c r="AB99" s="195"/>
      <c r="AC99" s="195"/>
      <c r="AD99" s="195"/>
      <c r="AE99" s="195"/>
      <c r="AF99" s="195"/>
      <c r="AG99" s="195"/>
      <c r="AH99" s="195"/>
      <c r="AI99" s="195"/>
      <c r="AJ99" s="195"/>
      <c r="AK99" s="195"/>
      <c r="AL99" s="423"/>
      <c r="AM99" s="195"/>
      <c r="AN99" s="195"/>
      <c r="AO99" s="431"/>
      <c r="AP99" s="195"/>
      <c r="AQ99" s="195"/>
      <c r="AR99" s="195"/>
      <c r="AS99" s="195"/>
      <c r="AT99" s="195"/>
      <c r="AU99" s="195"/>
      <c r="AV99" s="195"/>
      <c r="AW99" s="195"/>
      <c r="AX99" s="195"/>
      <c r="AY99" s="195"/>
      <c r="AZ99" s="195"/>
      <c r="BA99" s="195"/>
      <c r="BB99" s="195"/>
      <c r="BC99" s="195"/>
      <c r="BD99" s="195"/>
      <c r="BE99" s="195"/>
      <c r="BF99" s="195"/>
      <c r="BG99" s="195"/>
      <c r="BH99" s="195"/>
      <c r="BI99" s="195"/>
      <c r="BJ99" s="195"/>
      <c r="BK99" s="195"/>
      <c r="BL99" s="195"/>
      <c r="BM99" s="195"/>
      <c r="BN99" s="195"/>
      <c r="BO99" s="195"/>
      <c r="BP99" s="195"/>
      <c r="BQ99" s="195"/>
      <c r="BR99" s="195"/>
      <c r="BS99" s="195"/>
      <c r="BT99" s="195"/>
      <c r="BU99" s="195"/>
      <c r="BV99" s="195"/>
      <c r="BW99" s="195"/>
      <c r="BX99" s="195"/>
      <c r="BY99" s="423"/>
      <c r="BZ99" s="194"/>
      <c r="CA99" s="194"/>
    </row>
    <row r="100" spans="2:79" s="365" customFormat="1" ht="10.15" customHeight="1" x14ac:dyDescent="0.2">
      <c r="B100" s="454" t="s">
        <v>892</v>
      </c>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4"/>
      <c r="AA100" s="429"/>
      <c r="AB100" s="745" t="e">
        <f>Daten!E511</f>
        <v>#N/A</v>
      </c>
      <c r="AC100" s="745"/>
      <c r="AD100" s="745"/>
      <c r="AE100" s="745"/>
      <c r="AF100" s="745"/>
      <c r="AG100" s="745"/>
      <c r="AH100" s="745"/>
      <c r="AI100" s="745"/>
      <c r="AJ100" s="745"/>
      <c r="AK100" s="438" t="s">
        <v>853</v>
      </c>
      <c r="AL100" s="417"/>
      <c r="AM100" s="195"/>
      <c r="AN100" s="195"/>
      <c r="AO100" s="454" t="s">
        <v>895</v>
      </c>
      <c r="AP100" s="195"/>
      <c r="AQ100" s="195"/>
      <c r="AR100" s="195"/>
      <c r="AS100" s="195"/>
      <c r="AT100" s="195"/>
      <c r="AU100" s="195"/>
      <c r="AV100" s="195"/>
      <c r="AW100" s="195"/>
      <c r="AX100" s="195"/>
      <c r="AY100" s="195"/>
      <c r="AZ100" s="195"/>
      <c r="BA100" s="195"/>
      <c r="BB100" s="195"/>
      <c r="BC100" s="195"/>
      <c r="BD100" s="195"/>
      <c r="BE100" s="195"/>
      <c r="BF100" s="195"/>
      <c r="BG100" s="195"/>
      <c r="BH100" s="195"/>
      <c r="BI100" s="195"/>
      <c r="BJ100" s="195"/>
      <c r="BK100" s="195"/>
      <c r="BL100" s="195"/>
      <c r="BM100" s="194"/>
      <c r="BN100" s="429"/>
      <c r="BO100" s="745" t="e">
        <f>Daten!E515</f>
        <v>#N/A</v>
      </c>
      <c r="BP100" s="745"/>
      <c r="BQ100" s="745"/>
      <c r="BR100" s="745"/>
      <c r="BS100" s="745"/>
      <c r="BT100" s="745"/>
      <c r="BU100" s="745"/>
      <c r="BV100" s="745"/>
      <c r="BW100" s="745"/>
      <c r="BX100" s="429" t="s">
        <v>853</v>
      </c>
      <c r="BY100" s="423"/>
      <c r="BZ100" s="194"/>
      <c r="CA100" s="194"/>
    </row>
    <row r="101" spans="2:79" s="365" customFormat="1" ht="3.2" customHeight="1" x14ac:dyDescent="0.2">
      <c r="B101" s="431"/>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413"/>
      <c r="AA101" s="410"/>
      <c r="AB101" s="410"/>
      <c r="AC101" s="410"/>
      <c r="AD101" s="410"/>
      <c r="AE101" s="410"/>
      <c r="AF101" s="410"/>
      <c r="AG101" s="410"/>
      <c r="AH101" s="410"/>
      <c r="AI101" s="410"/>
      <c r="AJ101" s="410"/>
      <c r="AK101" s="420"/>
      <c r="AL101" s="417"/>
      <c r="AM101" s="195"/>
      <c r="AN101" s="195"/>
      <c r="AO101" s="431"/>
      <c r="AP101" s="195"/>
      <c r="AQ101" s="195"/>
      <c r="AR101" s="195"/>
      <c r="AS101" s="195"/>
      <c r="AT101" s="195"/>
      <c r="AU101" s="195"/>
      <c r="AV101" s="195"/>
      <c r="AW101" s="195"/>
      <c r="AX101" s="195"/>
      <c r="AY101" s="195"/>
      <c r="AZ101" s="195"/>
      <c r="BA101" s="195"/>
      <c r="BB101" s="195"/>
      <c r="BC101" s="195"/>
      <c r="BD101" s="195"/>
      <c r="BE101" s="195"/>
      <c r="BF101" s="195"/>
      <c r="BG101" s="195"/>
      <c r="BH101" s="195"/>
      <c r="BI101" s="195"/>
      <c r="BJ101" s="195"/>
      <c r="BK101" s="195"/>
      <c r="BL101" s="195"/>
      <c r="BM101" s="410"/>
      <c r="BN101" s="410"/>
      <c r="BO101" s="410"/>
      <c r="BP101" s="410"/>
      <c r="BQ101" s="410"/>
      <c r="BR101" s="410"/>
      <c r="BS101" s="410"/>
      <c r="BT101" s="410"/>
      <c r="BU101" s="410"/>
      <c r="BV101" s="410"/>
      <c r="BW101" s="410"/>
      <c r="BX101" s="195"/>
      <c r="BY101" s="423"/>
      <c r="BZ101" s="194"/>
      <c r="CA101" s="194"/>
    </row>
    <row r="102" spans="2:79" s="365" customFormat="1" ht="10.15" customHeight="1" x14ac:dyDescent="0.2">
      <c r="B102" s="455" t="str">
        <f>IF(Daten!D362=1,Daten!G506&amp;""&amp;TEXT(Daten!E512,"0,00")&amp;" "&amp;Daten!G507&amp;" "&amp;TEXT(Daten!E513,"0,00")&amp;" "&amp;Daten!G511,"")</f>
        <v/>
      </c>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4"/>
      <c r="AA102" s="194"/>
      <c r="AB102" s="194"/>
      <c r="AC102" s="194"/>
      <c r="AD102" s="194"/>
      <c r="AE102" s="194"/>
      <c r="AF102" s="194"/>
      <c r="AG102" s="194"/>
      <c r="AH102" s="194"/>
      <c r="AI102" s="194"/>
      <c r="AJ102" s="194"/>
      <c r="AK102" s="194"/>
      <c r="AL102" s="423"/>
      <c r="AM102" s="195"/>
      <c r="AN102" s="195"/>
      <c r="AO102" s="456" t="str">
        <f>IF(Daten!D362=1,Daten!G506&amp;""&amp;TEXT(Daten!E517,"0,00")&amp;" "&amp;Daten!G508&amp;" "&amp;TEXT(Daten!E518,"0,00")&amp;" "&amp;Daten!G511,"")</f>
        <v/>
      </c>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5"/>
      <c r="BQ102" s="195"/>
      <c r="BR102" s="195"/>
      <c r="BS102" s="195"/>
      <c r="BT102" s="195"/>
      <c r="BU102" s="195"/>
      <c r="BV102" s="195"/>
      <c r="BW102" s="195"/>
      <c r="BX102" s="195"/>
      <c r="BY102" s="423"/>
      <c r="BZ102" s="194"/>
      <c r="CA102" s="194"/>
    </row>
    <row r="103" spans="2:79" s="365" customFormat="1" ht="8.1" customHeight="1" x14ac:dyDescent="0.2">
      <c r="B103" s="431"/>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4"/>
      <c r="AA103" s="194"/>
      <c r="AB103" s="194"/>
      <c r="AC103" s="194"/>
      <c r="AD103" s="194"/>
      <c r="AE103" s="194"/>
      <c r="AF103" s="194"/>
      <c r="AG103" s="194"/>
      <c r="AH103" s="194"/>
      <c r="AI103" s="194"/>
      <c r="AJ103" s="194"/>
      <c r="AK103" s="195"/>
      <c r="AL103" s="423"/>
      <c r="AM103" s="195"/>
      <c r="AN103" s="195"/>
      <c r="AO103" s="431"/>
      <c r="AP103" s="195"/>
      <c r="AQ103" s="195"/>
      <c r="AR103" s="195"/>
      <c r="AS103" s="195"/>
      <c r="AT103" s="195"/>
      <c r="AU103" s="195"/>
      <c r="AV103" s="195"/>
      <c r="AW103" s="195"/>
      <c r="AX103" s="195"/>
      <c r="AY103" s="195"/>
      <c r="AZ103" s="195"/>
      <c r="BA103" s="195"/>
      <c r="BB103" s="195"/>
      <c r="BC103" s="195"/>
      <c r="BD103" s="195"/>
      <c r="BE103" s="195"/>
      <c r="BF103" s="195"/>
      <c r="BG103" s="195"/>
      <c r="BH103" s="195"/>
      <c r="BI103" s="195"/>
      <c r="BJ103" s="195"/>
      <c r="BK103" s="195"/>
      <c r="BL103" s="195"/>
      <c r="BM103" s="195"/>
      <c r="BN103" s="195"/>
      <c r="BO103" s="195"/>
      <c r="BP103" s="195"/>
      <c r="BQ103" s="195"/>
      <c r="BR103" s="195"/>
      <c r="BS103" s="195"/>
      <c r="BT103" s="195"/>
      <c r="BU103" s="195"/>
      <c r="BV103" s="195"/>
      <c r="BW103" s="195"/>
      <c r="BX103" s="195"/>
      <c r="BY103" s="423"/>
      <c r="BZ103" s="194"/>
      <c r="CA103" s="194"/>
    </row>
    <row r="104" spans="2:79" s="365" customFormat="1" ht="10.15" customHeight="1" x14ac:dyDescent="0.2">
      <c r="B104" s="454" t="s">
        <v>902</v>
      </c>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4"/>
      <c r="Z104" s="745">
        <f>Daten!E504</f>
        <v>0</v>
      </c>
      <c r="AA104" s="756"/>
      <c r="AB104" s="756"/>
      <c r="AC104" s="756"/>
      <c r="AD104" s="756"/>
      <c r="AE104" s="756"/>
      <c r="AF104" s="756"/>
      <c r="AG104" s="756"/>
      <c r="AH104" s="756"/>
      <c r="AI104" s="756"/>
      <c r="AJ104" s="756"/>
      <c r="AK104" s="438" t="s">
        <v>853</v>
      </c>
      <c r="AL104" s="423"/>
      <c r="AM104" s="195"/>
      <c r="AN104" s="195"/>
      <c r="AO104" s="454" t="s">
        <v>880</v>
      </c>
      <c r="AP104" s="195"/>
      <c r="AQ104" s="195"/>
      <c r="AR104" s="195"/>
      <c r="AS104" s="195"/>
      <c r="AT104" s="195"/>
      <c r="AU104" s="195"/>
      <c r="AV104" s="195"/>
      <c r="AW104" s="195"/>
      <c r="AX104" s="195"/>
      <c r="AY104" s="195"/>
      <c r="AZ104" s="195"/>
      <c r="BA104" s="195"/>
      <c r="BB104" s="195"/>
      <c r="BC104" s="195"/>
      <c r="BD104" s="195"/>
      <c r="BE104" s="195"/>
      <c r="BF104" s="195"/>
      <c r="BG104" s="195"/>
      <c r="BH104" s="195"/>
      <c r="BI104" s="195"/>
      <c r="BJ104" s="195"/>
      <c r="BK104" s="195"/>
      <c r="BL104" s="195"/>
      <c r="BM104" s="745">
        <f>Daten!E509</f>
        <v>0</v>
      </c>
      <c r="BN104" s="756"/>
      <c r="BO104" s="756"/>
      <c r="BP104" s="756"/>
      <c r="BQ104" s="756"/>
      <c r="BR104" s="756"/>
      <c r="BS104" s="756"/>
      <c r="BT104" s="756"/>
      <c r="BU104" s="756"/>
      <c r="BV104" s="756"/>
      <c r="BW104" s="756"/>
      <c r="BX104" s="432" t="s">
        <v>853</v>
      </c>
      <c r="BY104" s="430"/>
      <c r="BZ104" s="194"/>
      <c r="CA104" s="194"/>
    </row>
    <row r="105" spans="2:79" s="365" customFormat="1" ht="3.2" customHeight="1" x14ac:dyDescent="0.2">
      <c r="B105" s="431"/>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4"/>
      <c r="Z105" s="437"/>
      <c r="AA105" s="424"/>
      <c r="AB105" s="424"/>
      <c r="AC105" s="424"/>
      <c r="AD105" s="424"/>
      <c r="AE105" s="424"/>
      <c r="AF105" s="424"/>
      <c r="AG105" s="424"/>
      <c r="AH105" s="424"/>
      <c r="AI105" s="424"/>
      <c r="AJ105" s="424"/>
      <c r="AK105" s="420"/>
      <c r="AL105" s="423"/>
      <c r="AM105" s="195"/>
      <c r="AN105" s="195"/>
      <c r="AO105" s="431"/>
      <c r="AP105" s="195"/>
      <c r="AQ105" s="195"/>
      <c r="AR105" s="195"/>
      <c r="AS105" s="195"/>
      <c r="AT105" s="195"/>
      <c r="AU105" s="195"/>
      <c r="AV105" s="195"/>
      <c r="AW105" s="195"/>
      <c r="AX105" s="195"/>
      <c r="AY105" s="195"/>
      <c r="AZ105" s="195"/>
      <c r="BA105" s="195"/>
      <c r="BB105" s="195"/>
      <c r="BC105" s="195"/>
      <c r="BD105" s="195"/>
      <c r="BE105" s="195"/>
      <c r="BF105" s="195"/>
      <c r="BG105" s="195"/>
      <c r="BH105" s="195"/>
      <c r="BI105" s="195"/>
      <c r="BJ105" s="195"/>
      <c r="BK105" s="195"/>
      <c r="BL105" s="195"/>
      <c r="BM105" s="437"/>
      <c r="BN105" s="424"/>
      <c r="BO105" s="424"/>
      <c r="BP105" s="424"/>
      <c r="BQ105" s="424"/>
      <c r="BR105" s="424"/>
      <c r="BS105" s="424"/>
      <c r="BT105" s="424"/>
      <c r="BU105" s="424"/>
      <c r="BV105" s="424"/>
      <c r="BW105" s="424"/>
      <c r="BX105" s="194"/>
      <c r="BY105" s="423"/>
      <c r="BZ105" s="194"/>
      <c r="CA105" s="194"/>
    </row>
    <row r="106" spans="2:79" s="365" customFormat="1" ht="10.15" customHeight="1" x14ac:dyDescent="0.2">
      <c r="B106" s="457" t="s">
        <v>879</v>
      </c>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757">
        <f>Daten!E505</f>
        <v>0</v>
      </c>
      <c r="AA106" s="758"/>
      <c r="AB106" s="758"/>
      <c r="AC106" s="758"/>
      <c r="AD106" s="758"/>
      <c r="AE106" s="758"/>
      <c r="AF106" s="758"/>
      <c r="AG106" s="758"/>
      <c r="AH106" s="758"/>
      <c r="AI106" s="758"/>
      <c r="AJ106" s="758"/>
      <c r="AK106" s="458" t="s">
        <v>853</v>
      </c>
      <c r="AL106" s="423"/>
      <c r="AM106" s="195"/>
      <c r="AN106" s="195"/>
      <c r="AO106" s="457" t="str">
        <f>IF(Daten!J362=1,Daten!G506&amp;""&amp;TEXT(Daten!E507,"0,00")&amp;" "&amp;Daten!G518&amp;" "&amp;TEXT(Daten!E508,"0,00")&amp;" "&amp;Daten!G519,"")</f>
        <v/>
      </c>
      <c r="AP106" s="195"/>
      <c r="AQ106" s="195"/>
      <c r="AR106" s="195"/>
      <c r="AS106" s="195"/>
      <c r="AT106" s="195"/>
      <c r="AU106" s="195"/>
      <c r="AV106" s="195"/>
      <c r="AW106" s="195"/>
      <c r="AX106" s="195"/>
      <c r="AY106" s="195"/>
      <c r="AZ106" s="195"/>
      <c r="BA106" s="195"/>
      <c r="BB106" s="195"/>
      <c r="BC106" s="195"/>
      <c r="BD106" s="195"/>
      <c r="BE106" s="195"/>
      <c r="BF106" s="195"/>
      <c r="BG106" s="195"/>
      <c r="BH106" s="195"/>
      <c r="BI106" s="195"/>
      <c r="BJ106" s="195"/>
      <c r="BK106" s="195"/>
      <c r="BL106" s="195"/>
      <c r="BM106" s="195"/>
      <c r="BN106" s="195"/>
      <c r="BO106" s="195"/>
      <c r="BP106" s="195"/>
      <c r="BQ106" s="195"/>
      <c r="BR106" s="195"/>
      <c r="BS106" s="195"/>
      <c r="BT106" s="195"/>
      <c r="BU106" s="195"/>
      <c r="BV106" s="195"/>
      <c r="BW106" s="195"/>
      <c r="BX106" s="195"/>
      <c r="BY106" s="423"/>
      <c r="BZ106" s="194"/>
      <c r="CA106" s="194"/>
    </row>
    <row r="107" spans="2:79" s="365" customFormat="1" ht="3.2" customHeight="1" x14ac:dyDescent="0.2">
      <c r="B107" s="433"/>
      <c r="C107" s="434"/>
      <c r="D107" s="434"/>
      <c r="E107" s="434"/>
      <c r="F107" s="434"/>
      <c r="G107" s="434"/>
      <c r="H107" s="434"/>
      <c r="I107" s="434"/>
      <c r="J107" s="434"/>
      <c r="K107" s="434"/>
      <c r="L107" s="434"/>
      <c r="M107" s="434"/>
      <c r="N107" s="434"/>
      <c r="O107" s="434"/>
      <c r="P107" s="434"/>
      <c r="Q107" s="434"/>
      <c r="R107" s="434"/>
      <c r="S107" s="434"/>
      <c r="T107" s="434"/>
      <c r="U107" s="434"/>
      <c r="V107" s="434"/>
      <c r="W107" s="434"/>
      <c r="X107" s="434"/>
      <c r="Y107" s="434"/>
      <c r="Z107" s="411"/>
      <c r="AA107" s="412"/>
      <c r="AB107" s="412"/>
      <c r="AC107" s="412"/>
      <c r="AD107" s="412"/>
      <c r="AE107" s="412"/>
      <c r="AF107" s="412"/>
      <c r="AG107" s="412"/>
      <c r="AH107" s="412"/>
      <c r="AI107" s="412"/>
      <c r="AJ107" s="412"/>
      <c r="AK107" s="434"/>
      <c r="AL107" s="436"/>
      <c r="AM107" s="195"/>
      <c r="AN107" s="195"/>
      <c r="AO107" s="449"/>
      <c r="AP107" s="434"/>
      <c r="AQ107" s="434"/>
      <c r="AR107" s="434"/>
      <c r="AS107" s="434"/>
      <c r="AT107" s="434"/>
      <c r="AU107" s="434"/>
      <c r="AV107" s="434"/>
      <c r="AW107" s="434"/>
      <c r="AX107" s="434"/>
      <c r="AY107" s="434"/>
      <c r="AZ107" s="434"/>
      <c r="BA107" s="434"/>
      <c r="BB107" s="434"/>
      <c r="BC107" s="434"/>
      <c r="BD107" s="434"/>
      <c r="BE107" s="434"/>
      <c r="BF107" s="434"/>
      <c r="BG107" s="434"/>
      <c r="BH107" s="434"/>
      <c r="BI107" s="434"/>
      <c r="BJ107" s="434"/>
      <c r="BK107" s="434"/>
      <c r="BL107" s="434"/>
      <c r="BM107" s="434"/>
      <c r="BN107" s="434"/>
      <c r="BO107" s="434"/>
      <c r="BP107" s="434"/>
      <c r="BQ107" s="434"/>
      <c r="BR107" s="434"/>
      <c r="BS107" s="434"/>
      <c r="BT107" s="434"/>
      <c r="BU107" s="434"/>
      <c r="BV107" s="434"/>
      <c r="BW107" s="434"/>
      <c r="BX107" s="434"/>
      <c r="BY107" s="436"/>
      <c r="BZ107" s="194"/>
      <c r="CA107" s="194"/>
    </row>
    <row r="108" spans="2:79" s="365" customFormat="1" ht="12.2" customHeight="1" x14ac:dyDescent="0.2">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c r="AR108" s="194"/>
      <c r="AS108" s="194"/>
      <c r="AT108" s="194"/>
      <c r="AU108" s="194"/>
      <c r="AV108" s="194"/>
      <c r="AW108" s="194"/>
      <c r="AX108" s="194"/>
      <c r="AY108" s="194"/>
      <c r="AZ108" s="194"/>
      <c r="BA108" s="194"/>
      <c r="BB108" s="194"/>
      <c r="BC108" s="194"/>
      <c r="BD108" s="194"/>
      <c r="BE108" s="194"/>
      <c r="BF108" s="194"/>
      <c r="BG108" s="194"/>
      <c r="BH108" s="194"/>
      <c r="BI108" s="194"/>
      <c r="BJ108" s="194"/>
      <c r="BK108" s="194"/>
      <c r="BL108" s="194"/>
      <c r="BM108" s="194"/>
      <c r="BN108" s="194"/>
      <c r="BO108" s="194"/>
      <c r="BP108" s="194"/>
      <c r="BQ108" s="194"/>
      <c r="BR108" s="194"/>
      <c r="BS108" s="194"/>
      <c r="BT108" s="194"/>
      <c r="BU108" s="194"/>
      <c r="BV108" s="194"/>
      <c r="BW108" s="194"/>
      <c r="BX108" s="194"/>
      <c r="BY108" s="448"/>
      <c r="BZ108" s="194"/>
      <c r="CA108" s="194"/>
    </row>
    <row r="109" spans="2:79" s="365" customFormat="1" ht="5.0999999999999996" customHeight="1" x14ac:dyDescent="0.2">
      <c r="B109" s="195"/>
      <c r="C109" s="195"/>
      <c r="D109" s="195"/>
      <c r="E109" s="195"/>
      <c r="F109" s="459"/>
      <c r="G109" s="460"/>
      <c r="H109" s="460"/>
      <c r="I109" s="460"/>
      <c r="J109" s="460"/>
      <c r="K109" s="460"/>
      <c r="L109" s="460"/>
      <c r="M109" s="461"/>
      <c r="N109" s="461"/>
      <c r="O109" s="461"/>
      <c r="P109" s="461"/>
      <c r="Q109" s="461"/>
      <c r="R109" s="461"/>
      <c r="S109" s="461"/>
      <c r="T109" s="461"/>
      <c r="U109" s="461"/>
      <c r="V109" s="461"/>
      <c r="W109" s="461"/>
      <c r="X109" s="461"/>
      <c r="Y109" s="461"/>
      <c r="Z109" s="461"/>
      <c r="AA109" s="461"/>
      <c r="AB109" s="461"/>
      <c r="AC109" s="461"/>
      <c r="AD109" s="461"/>
      <c r="AE109" s="461"/>
      <c r="AF109" s="461"/>
      <c r="AG109" s="461"/>
      <c r="AH109" s="461"/>
      <c r="AI109" s="461"/>
      <c r="AJ109" s="461"/>
      <c r="AK109" s="461"/>
      <c r="AL109" s="461"/>
      <c r="AM109" s="461"/>
      <c r="AN109" s="461"/>
      <c r="AO109" s="461"/>
      <c r="AP109" s="461"/>
      <c r="AQ109" s="461"/>
      <c r="AR109" s="461"/>
      <c r="AS109" s="461"/>
      <c r="AT109" s="461"/>
      <c r="AU109" s="461"/>
      <c r="AV109" s="461"/>
      <c r="AW109" s="461"/>
      <c r="AX109" s="461"/>
      <c r="AY109" s="461"/>
      <c r="AZ109" s="461"/>
      <c r="BA109" s="461"/>
      <c r="BB109" s="461"/>
      <c r="BC109" s="461"/>
      <c r="BD109" s="461"/>
      <c r="BE109" s="461"/>
      <c r="BF109" s="461"/>
      <c r="BG109" s="461"/>
      <c r="BH109" s="461"/>
      <c r="BI109" s="461"/>
      <c r="BJ109" s="461"/>
      <c r="BK109" s="461"/>
      <c r="BL109" s="461"/>
      <c r="BM109" s="461"/>
      <c r="BN109" s="461"/>
      <c r="BO109" s="461"/>
      <c r="BP109" s="461"/>
      <c r="BQ109" s="461"/>
      <c r="BR109" s="461"/>
      <c r="BS109" s="462"/>
      <c r="BT109" s="195"/>
      <c r="BU109" s="195"/>
      <c r="BV109" s="195"/>
      <c r="BW109" s="195"/>
      <c r="BX109" s="195"/>
      <c r="BY109" s="195"/>
      <c r="BZ109" s="194"/>
      <c r="CA109" s="194"/>
    </row>
    <row r="110" spans="2:79" s="365" customFormat="1" ht="12.2" customHeight="1" x14ac:dyDescent="0.2">
      <c r="B110" s="195"/>
      <c r="C110" s="195"/>
      <c r="D110" s="195"/>
      <c r="E110" s="195"/>
      <c r="F110" s="463"/>
      <c r="G110" s="464"/>
      <c r="H110" s="753" t="e">
        <f>IF(Daten!C356=1,"x",IF(Daten!E523=1,"x",""))</f>
        <v>#N/A</v>
      </c>
      <c r="I110" s="754"/>
      <c r="J110" s="755"/>
      <c r="K110" s="465"/>
      <c r="L110" s="465"/>
      <c r="M110" s="464"/>
      <c r="N110" s="466" t="str">
        <f>IF(Daten!C356=1,"Die Wohnung ist überbelegt i. S. d. § 2 Nr. 5a NWoSchG, da die Mindestwohn-","Die KdU für die o.g. Wohnung überschreiten unabhängig von der Wohnfläche")</f>
        <v>Die KdU für die o.g. Wohnung überschreiten unabhängig von der Wohnfläche</v>
      </c>
      <c r="O110" s="466"/>
      <c r="P110" s="466"/>
      <c r="Q110" s="466"/>
      <c r="R110" s="466"/>
      <c r="S110" s="466"/>
      <c r="T110" s="466"/>
      <c r="U110" s="466"/>
      <c r="V110" s="466"/>
      <c r="W110" s="466"/>
      <c r="X110" s="466"/>
      <c r="Y110" s="466"/>
      <c r="Z110" s="466"/>
      <c r="AA110" s="466"/>
      <c r="AB110" s="466"/>
      <c r="AC110" s="466"/>
      <c r="AD110" s="466"/>
      <c r="AE110" s="466"/>
      <c r="AF110" s="466"/>
      <c r="AG110" s="466"/>
      <c r="AH110" s="466"/>
      <c r="AI110" s="466"/>
      <c r="AJ110" s="466"/>
      <c r="AK110" s="466"/>
      <c r="AL110" s="466"/>
      <c r="AM110" s="466"/>
      <c r="AN110" s="466"/>
      <c r="AO110" s="466"/>
      <c r="AP110" s="466"/>
      <c r="AQ110" s="466"/>
      <c r="AR110" s="466"/>
      <c r="AS110" s="466"/>
      <c r="AT110" s="466"/>
      <c r="AU110" s="466"/>
      <c r="AV110" s="466"/>
      <c r="AW110" s="466"/>
      <c r="AX110" s="466"/>
      <c r="AY110" s="466"/>
      <c r="AZ110" s="466"/>
      <c r="BA110" s="466"/>
      <c r="BB110" s="466"/>
      <c r="BC110" s="466"/>
      <c r="BD110" s="466"/>
      <c r="BE110" s="466"/>
      <c r="BF110" s="466"/>
      <c r="BG110" s="466"/>
      <c r="BH110" s="466"/>
      <c r="BI110" s="466"/>
      <c r="BJ110" s="466"/>
      <c r="BK110" s="466"/>
      <c r="BL110" s="466"/>
      <c r="BM110" s="466"/>
      <c r="BN110" s="466"/>
      <c r="BO110" s="466"/>
      <c r="BP110" s="466"/>
      <c r="BQ110" s="466"/>
      <c r="BR110" s="466"/>
      <c r="BS110" s="467"/>
      <c r="BT110" s="194"/>
      <c r="BU110" s="195"/>
      <c r="BV110" s="195"/>
      <c r="BW110" s="195"/>
      <c r="BX110" s="195"/>
      <c r="BY110" s="195"/>
      <c r="BZ110" s="194"/>
      <c r="CA110" s="194"/>
    </row>
    <row r="111" spans="2:79" s="365" customFormat="1" ht="10.15" customHeight="1" x14ac:dyDescent="0.2">
      <c r="B111" s="195"/>
      <c r="C111" s="195"/>
      <c r="D111" s="195"/>
      <c r="E111" s="195"/>
      <c r="F111" s="463"/>
      <c r="G111" s="464"/>
      <c r="H111" s="464"/>
      <c r="I111" s="464"/>
      <c r="J111" s="464"/>
      <c r="K111" s="468"/>
      <c r="L111" s="464"/>
      <c r="M111" s="464"/>
      <c r="N111" s="466" t="str">
        <f>IF(Daten!C356=1,"fläche von 10 m² pro Person unterschritten wird.","den Höchstsatz und sind unangemessen i.S.d. § 22 Abs. 1 Satz 1 SGB II.")</f>
        <v>den Höchstsatz und sind unangemessen i.S.d. § 22 Abs. 1 Satz 1 SGB II.</v>
      </c>
      <c r="O111" s="466"/>
      <c r="P111" s="466"/>
      <c r="Q111" s="466"/>
      <c r="R111" s="466"/>
      <c r="S111" s="466"/>
      <c r="T111" s="466"/>
      <c r="U111" s="466"/>
      <c r="V111" s="466"/>
      <c r="W111" s="466"/>
      <c r="X111" s="466"/>
      <c r="Y111" s="466"/>
      <c r="Z111" s="466"/>
      <c r="AA111" s="466"/>
      <c r="AB111" s="466"/>
      <c r="AC111" s="466"/>
      <c r="AD111" s="466"/>
      <c r="AE111" s="466"/>
      <c r="AF111" s="466"/>
      <c r="AG111" s="466"/>
      <c r="AH111" s="466"/>
      <c r="AI111" s="466"/>
      <c r="AJ111" s="466"/>
      <c r="AK111" s="466"/>
      <c r="AL111" s="466"/>
      <c r="AM111" s="466"/>
      <c r="AN111" s="466"/>
      <c r="AO111" s="466"/>
      <c r="AP111" s="466"/>
      <c r="AQ111" s="466"/>
      <c r="AR111" s="466"/>
      <c r="AS111" s="466"/>
      <c r="AT111" s="466"/>
      <c r="AU111" s="466"/>
      <c r="AV111" s="466"/>
      <c r="AW111" s="466"/>
      <c r="AX111" s="466"/>
      <c r="AY111" s="466"/>
      <c r="AZ111" s="466"/>
      <c r="BA111" s="466"/>
      <c r="BB111" s="466"/>
      <c r="BC111" s="466"/>
      <c r="BD111" s="466"/>
      <c r="BE111" s="466"/>
      <c r="BF111" s="466"/>
      <c r="BG111" s="466"/>
      <c r="BH111" s="466"/>
      <c r="BI111" s="466"/>
      <c r="BJ111" s="466"/>
      <c r="BK111" s="466"/>
      <c r="BL111" s="466"/>
      <c r="BM111" s="466"/>
      <c r="BN111" s="466"/>
      <c r="BO111" s="466"/>
      <c r="BP111" s="466"/>
      <c r="BQ111" s="466"/>
      <c r="BR111" s="466"/>
      <c r="BS111" s="467"/>
      <c r="BT111" s="195"/>
      <c r="BU111" s="195"/>
      <c r="BV111" s="195"/>
      <c r="BW111" s="195"/>
      <c r="BX111" s="195"/>
      <c r="BY111" s="195"/>
      <c r="BZ111" s="194"/>
      <c r="CA111" s="194"/>
    </row>
    <row r="112" spans="2:79" s="365" customFormat="1" ht="10.15" customHeight="1" x14ac:dyDescent="0.2">
      <c r="B112" s="195"/>
      <c r="C112" s="195"/>
      <c r="D112" s="195"/>
      <c r="E112" s="195"/>
      <c r="F112" s="469"/>
      <c r="G112" s="468"/>
      <c r="H112" s="468"/>
      <c r="I112" s="464"/>
      <c r="J112" s="464"/>
      <c r="K112" s="464"/>
      <c r="L112" s="464"/>
      <c r="M112" s="464"/>
      <c r="N112" s="470" t="str">
        <f>IF(Daten!C356=1,"Hinweis:","Ergänzung:")</f>
        <v>Ergänzung:</v>
      </c>
      <c r="O112" s="471"/>
      <c r="P112" s="471"/>
      <c r="Q112" s="471"/>
      <c r="R112" s="471"/>
      <c r="S112" s="471"/>
      <c r="T112" s="471"/>
      <c r="U112" s="471"/>
      <c r="V112" s="471"/>
      <c r="W112" s="472" t="str">
        <f>IF(Daten!C356=1,"Eine Zusicherung für die o. g. Wohnung kann nicht erteilt werden.","Die Gesamtangemessenheitsgrenze nach § 22 Abs. 10 SGB II ist")</f>
        <v>Die Gesamtangemessenheitsgrenze nach § 22 Abs. 10 SGB II ist</v>
      </c>
      <c r="X112" s="473"/>
      <c r="Y112" s="473"/>
      <c r="Z112" s="473"/>
      <c r="AA112" s="473"/>
      <c r="AB112" s="473"/>
      <c r="AC112" s="473"/>
      <c r="AD112" s="473"/>
      <c r="AE112" s="473"/>
      <c r="AF112" s="473"/>
      <c r="AG112" s="473"/>
      <c r="AH112" s="473"/>
      <c r="AI112" s="473"/>
      <c r="AJ112" s="473"/>
      <c r="AK112" s="473"/>
      <c r="AL112" s="473"/>
      <c r="AM112" s="473"/>
      <c r="AN112" s="473"/>
      <c r="AO112" s="473"/>
      <c r="AP112" s="473"/>
      <c r="AQ112" s="473"/>
      <c r="AR112" s="473"/>
      <c r="AS112" s="473"/>
      <c r="AT112" s="473"/>
      <c r="AU112" s="473"/>
      <c r="AV112" s="473"/>
      <c r="AW112" s="473"/>
      <c r="AX112" s="473"/>
      <c r="AY112" s="473"/>
      <c r="AZ112" s="473"/>
      <c r="BA112" s="473"/>
      <c r="BB112" s="473"/>
      <c r="BC112" s="473"/>
      <c r="BD112" s="473"/>
      <c r="BE112" s="473"/>
      <c r="BF112" s="473"/>
      <c r="BG112" s="473"/>
      <c r="BH112" s="473"/>
      <c r="BI112" s="473"/>
      <c r="BJ112" s="473"/>
      <c r="BK112" s="473"/>
      <c r="BL112" s="473"/>
      <c r="BM112" s="473"/>
      <c r="BN112" s="473"/>
      <c r="BO112" s="473"/>
      <c r="BP112" s="473"/>
      <c r="BQ112" s="473"/>
      <c r="BR112" s="473"/>
      <c r="BS112" s="474"/>
      <c r="BT112" s="195"/>
      <c r="BU112" s="195"/>
      <c r="BV112" s="195"/>
      <c r="BW112" s="195"/>
      <c r="BX112" s="195"/>
      <c r="BY112" s="195"/>
      <c r="BZ112" s="194"/>
      <c r="CA112" s="194"/>
    </row>
    <row r="113" spans="2:79" s="365" customFormat="1" ht="10.15" customHeight="1" x14ac:dyDescent="0.2">
      <c r="B113" s="195"/>
      <c r="C113" s="195"/>
      <c r="D113" s="195"/>
      <c r="E113" s="195"/>
      <c r="F113" s="469"/>
      <c r="G113" s="468"/>
      <c r="H113" s="468"/>
      <c r="I113" s="464"/>
      <c r="J113" s="464"/>
      <c r="K113" s="464"/>
      <c r="L113" s="464"/>
      <c r="M113" s="464"/>
      <c r="N113" s="468"/>
      <c r="O113" s="468"/>
      <c r="P113" s="468"/>
      <c r="Q113" s="468"/>
      <c r="R113" s="468"/>
      <c r="S113" s="468"/>
      <c r="T113" s="468"/>
      <c r="U113" s="464"/>
      <c r="V113" s="464"/>
      <c r="W113" s="468" t="str">
        <f>IF(Daten!C356=1,"In Bestandsfällen werden die KdU gewährt.","noch zu prüfen, soweit die Heizkosten angemessen sind.")</f>
        <v>noch zu prüfen, soweit die Heizkosten angemessen sind.</v>
      </c>
      <c r="X113" s="466"/>
      <c r="Y113" s="466"/>
      <c r="Z113" s="466"/>
      <c r="AA113" s="466"/>
      <c r="AB113" s="466"/>
      <c r="AC113" s="466"/>
      <c r="AD113" s="466"/>
      <c r="AE113" s="466"/>
      <c r="AF113" s="466"/>
      <c r="AG113" s="466"/>
      <c r="AH113" s="466"/>
      <c r="AI113" s="466"/>
      <c r="AJ113" s="466"/>
      <c r="AK113" s="466"/>
      <c r="AL113" s="466"/>
      <c r="AM113" s="466"/>
      <c r="AN113" s="466"/>
      <c r="AO113" s="466"/>
      <c r="AP113" s="466"/>
      <c r="AQ113" s="466"/>
      <c r="AR113" s="466"/>
      <c r="AS113" s="466"/>
      <c r="AT113" s="466"/>
      <c r="AU113" s="466"/>
      <c r="AV113" s="466"/>
      <c r="AW113" s="466"/>
      <c r="AX113" s="466"/>
      <c r="AY113" s="466"/>
      <c r="AZ113" s="466"/>
      <c r="BA113" s="466"/>
      <c r="BB113" s="466"/>
      <c r="BC113" s="466"/>
      <c r="BD113" s="466"/>
      <c r="BE113" s="466"/>
      <c r="BF113" s="466"/>
      <c r="BG113" s="466"/>
      <c r="BH113" s="466"/>
      <c r="BI113" s="466"/>
      <c r="BJ113" s="466"/>
      <c r="BK113" s="466"/>
      <c r="BL113" s="466"/>
      <c r="BM113" s="466"/>
      <c r="BN113" s="466"/>
      <c r="BO113" s="466"/>
      <c r="BP113" s="466"/>
      <c r="BQ113" s="466"/>
      <c r="BR113" s="466"/>
      <c r="BS113" s="467"/>
      <c r="BT113" s="195"/>
      <c r="BU113" s="195"/>
      <c r="BV113" s="195"/>
      <c r="BW113" s="195"/>
      <c r="BX113" s="195"/>
      <c r="BY113" s="195"/>
      <c r="BZ113" s="194"/>
      <c r="CA113" s="194"/>
    </row>
    <row r="114" spans="2:79" s="365" customFormat="1" ht="5.0999999999999996" customHeight="1" x14ac:dyDescent="0.2">
      <c r="B114" s="195"/>
      <c r="C114" s="195"/>
      <c r="D114" s="195"/>
      <c r="E114" s="195"/>
      <c r="F114" s="469"/>
      <c r="G114" s="468"/>
      <c r="H114" s="468"/>
      <c r="I114" s="468"/>
      <c r="J114" s="468"/>
      <c r="K114" s="468"/>
      <c r="L114" s="464"/>
      <c r="M114" s="468"/>
      <c r="N114" s="468"/>
      <c r="O114" s="468"/>
      <c r="P114" s="468"/>
      <c r="Q114" s="468"/>
      <c r="R114" s="468"/>
      <c r="S114" s="468"/>
      <c r="T114" s="468"/>
      <c r="U114" s="464"/>
      <c r="V114" s="468"/>
      <c r="W114" s="468"/>
      <c r="X114" s="468"/>
      <c r="Y114" s="468"/>
      <c r="Z114" s="468"/>
      <c r="AA114" s="468"/>
      <c r="AB114" s="468"/>
      <c r="AC114" s="468"/>
      <c r="AD114" s="468"/>
      <c r="AE114" s="468"/>
      <c r="AF114" s="468"/>
      <c r="AG114" s="468"/>
      <c r="AH114" s="468"/>
      <c r="AI114" s="468"/>
      <c r="AJ114" s="468"/>
      <c r="AK114" s="468"/>
      <c r="AL114" s="468"/>
      <c r="AM114" s="468"/>
      <c r="AN114" s="468"/>
      <c r="AO114" s="468"/>
      <c r="AP114" s="468"/>
      <c r="AQ114" s="468"/>
      <c r="AR114" s="468"/>
      <c r="AS114" s="468"/>
      <c r="AT114" s="468"/>
      <c r="AU114" s="468"/>
      <c r="AV114" s="468"/>
      <c r="AW114" s="468"/>
      <c r="AX114" s="468"/>
      <c r="AY114" s="468"/>
      <c r="AZ114" s="468"/>
      <c r="BA114" s="468"/>
      <c r="BB114" s="468"/>
      <c r="BC114" s="468"/>
      <c r="BD114" s="468"/>
      <c r="BE114" s="468"/>
      <c r="BF114" s="468"/>
      <c r="BG114" s="468"/>
      <c r="BH114" s="468"/>
      <c r="BI114" s="468"/>
      <c r="BJ114" s="468"/>
      <c r="BK114" s="468"/>
      <c r="BL114" s="468"/>
      <c r="BM114" s="468"/>
      <c r="BN114" s="468"/>
      <c r="BO114" s="468"/>
      <c r="BP114" s="468"/>
      <c r="BQ114" s="468"/>
      <c r="BR114" s="468"/>
      <c r="BS114" s="475"/>
      <c r="BT114" s="195"/>
      <c r="BU114" s="195"/>
      <c r="BV114" s="195"/>
      <c r="BW114" s="195"/>
      <c r="BX114" s="195"/>
      <c r="BY114" s="195"/>
      <c r="BZ114" s="194"/>
      <c r="CA114" s="194"/>
    </row>
    <row r="115" spans="2:79" s="365" customFormat="1" ht="12.2" customHeight="1" x14ac:dyDescent="0.2">
      <c r="B115" s="195"/>
      <c r="C115" s="195"/>
      <c r="D115" s="195"/>
      <c r="E115" s="195"/>
      <c r="F115" s="463"/>
      <c r="G115" s="464"/>
      <c r="H115" s="753" t="e">
        <f>IF(AND(Daten!C356=1,Daten!E523=1),"x",IF(AND(Daten!C356=0,Daten!E524=1),"x",""))</f>
        <v>#N/A</v>
      </c>
      <c r="I115" s="754"/>
      <c r="J115" s="755"/>
      <c r="K115" s="465"/>
      <c r="L115" s="465"/>
      <c r="M115" s="476"/>
      <c r="N115" s="473" t="str">
        <f>IF(Daten!C356=1,"Die KdU sind unangemessen. In Bestandsfällen: Prüfung der Gesamtange-","Die Heizkosten überschreiten den Höchstsatz und sind unangemessen")</f>
        <v>Die Heizkosten überschreiten den Höchstsatz und sind unangemessen</v>
      </c>
      <c r="O115" s="473"/>
      <c r="P115" s="473"/>
      <c r="Q115" s="473"/>
      <c r="R115" s="473"/>
      <c r="S115" s="473"/>
      <c r="T115" s="473"/>
      <c r="U115" s="473"/>
      <c r="V115" s="473"/>
      <c r="W115" s="473"/>
      <c r="X115" s="473"/>
      <c r="Y115" s="473"/>
      <c r="Z115" s="473"/>
      <c r="AA115" s="473"/>
      <c r="AB115" s="473"/>
      <c r="AC115" s="473"/>
      <c r="AD115" s="473"/>
      <c r="AE115" s="473"/>
      <c r="AF115" s="473"/>
      <c r="AG115" s="473"/>
      <c r="AH115" s="473"/>
      <c r="AI115" s="473"/>
      <c r="AJ115" s="473"/>
      <c r="AK115" s="473"/>
      <c r="AL115" s="473"/>
      <c r="AM115" s="473"/>
      <c r="AN115" s="473"/>
      <c r="AO115" s="473"/>
      <c r="AP115" s="473"/>
      <c r="AQ115" s="473"/>
      <c r="AR115" s="473"/>
      <c r="AS115" s="473"/>
      <c r="AT115" s="473"/>
      <c r="AU115" s="473"/>
      <c r="AV115" s="473"/>
      <c r="AW115" s="473"/>
      <c r="AX115" s="473"/>
      <c r="AY115" s="473"/>
      <c r="AZ115" s="473"/>
      <c r="BA115" s="473"/>
      <c r="BB115" s="473"/>
      <c r="BC115" s="473"/>
      <c r="BD115" s="473"/>
      <c r="BE115" s="473"/>
      <c r="BF115" s="473"/>
      <c r="BG115" s="473"/>
      <c r="BH115" s="473"/>
      <c r="BI115" s="473"/>
      <c r="BJ115" s="473"/>
      <c r="BK115" s="473"/>
      <c r="BL115" s="473"/>
      <c r="BM115" s="473"/>
      <c r="BN115" s="473"/>
      <c r="BO115" s="473"/>
      <c r="BP115" s="473"/>
      <c r="BQ115" s="473"/>
      <c r="BR115" s="473"/>
      <c r="BS115" s="474"/>
      <c r="BT115" s="195"/>
      <c r="BU115" s="195"/>
      <c r="BV115" s="195"/>
      <c r="BW115" s="195"/>
      <c r="BX115" s="195"/>
      <c r="BY115" s="195"/>
      <c r="BZ115" s="194"/>
      <c r="CA115" s="194"/>
    </row>
    <row r="116" spans="2:79" s="365" customFormat="1" ht="10.15" customHeight="1" x14ac:dyDescent="0.2">
      <c r="B116" s="195"/>
      <c r="C116" s="195"/>
      <c r="D116" s="195"/>
      <c r="E116" s="195"/>
      <c r="F116" s="477"/>
      <c r="G116" s="478"/>
      <c r="H116" s="479"/>
      <c r="I116" s="478"/>
      <c r="J116" s="478"/>
      <c r="K116" s="464"/>
      <c r="L116" s="480"/>
      <c r="M116" s="476"/>
      <c r="N116" s="481" t="str">
        <f>IF(Daten!C356=1,"messenheitsgrenze, wenn die Heizkosten angemessen sind.","i. S. d. § 22 Abs. 1 Satz 1 SGB II.")</f>
        <v>i. S. d. § 22 Abs. 1 Satz 1 SGB II.</v>
      </c>
      <c r="O116" s="464"/>
      <c r="P116" s="468"/>
      <c r="Q116" s="468"/>
      <c r="R116" s="468"/>
      <c r="S116" s="468"/>
      <c r="T116" s="468"/>
      <c r="U116" s="468"/>
      <c r="V116" s="468"/>
      <c r="W116" s="468"/>
      <c r="X116" s="464"/>
      <c r="Y116" s="468"/>
      <c r="Z116" s="468"/>
      <c r="AA116" s="468"/>
      <c r="AB116" s="468"/>
      <c r="AC116" s="468"/>
      <c r="AD116" s="468"/>
      <c r="AE116" s="468"/>
      <c r="AF116" s="468"/>
      <c r="AG116" s="468"/>
      <c r="AH116" s="468"/>
      <c r="AI116" s="468"/>
      <c r="AJ116" s="468"/>
      <c r="AK116" s="468"/>
      <c r="AL116" s="468"/>
      <c r="AM116" s="468"/>
      <c r="AN116" s="468"/>
      <c r="AO116" s="468"/>
      <c r="AP116" s="468"/>
      <c r="AQ116" s="468"/>
      <c r="AR116" s="468"/>
      <c r="AS116" s="468"/>
      <c r="AT116" s="468"/>
      <c r="AU116" s="468"/>
      <c r="AV116" s="468"/>
      <c r="AW116" s="468"/>
      <c r="AX116" s="468"/>
      <c r="AY116" s="468"/>
      <c r="AZ116" s="468"/>
      <c r="BA116" s="468"/>
      <c r="BB116" s="468"/>
      <c r="BC116" s="468"/>
      <c r="BD116" s="468"/>
      <c r="BE116" s="468"/>
      <c r="BF116" s="468"/>
      <c r="BG116" s="468"/>
      <c r="BH116" s="468"/>
      <c r="BI116" s="468"/>
      <c r="BJ116" s="468"/>
      <c r="BK116" s="468"/>
      <c r="BL116" s="468"/>
      <c r="BM116" s="468"/>
      <c r="BN116" s="468"/>
      <c r="BO116" s="468"/>
      <c r="BP116" s="468"/>
      <c r="BQ116" s="468"/>
      <c r="BR116" s="468"/>
      <c r="BS116" s="475"/>
      <c r="BT116" s="195"/>
      <c r="BU116" s="195"/>
      <c r="BV116" s="195"/>
      <c r="BW116" s="195"/>
      <c r="BX116" s="195"/>
      <c r="BY116" s="195"/>
      <c r="BZ116" s="194"/>
      <c r="CA116" s="194"/>
    </row>
    <row r="117" spans="2:79" s="365" customFormat="1" ht="3.2" customHeight="1" x14ac:dyDescent="0.2">
      <c r="B117" s="195"/>
      <c r="C117" s="195"/>
      <c r="D117" s="195"/>
      <c r="E117" s="195"/>
      <c r="F117" s="477"/>
      <c r="G117" s="478"/>
      <c r="H117" s="479"/>
      <c r="I117" s="478"/>
      <c r="J117" s="478"/>
      <c r="K117" s="464"/>
      <c r="L117" s="480"/>
      <c r="M117" s="476"/>
      <c r="N117" s="464"/>
      <c r="O117" s="464"/>
      <c r="P117" s="468"/>
      <c r="Q117" s="468"/>
      <c r="R117" s="468"/>
      <c r="S117" s="468"/>
      <c r="T117" s="468"/>
      <c r="U117" s="468"/>
      <c r="V117" s="468"/>
      <c r="W117" s="468"/>
      <c r="X117" s="464"/>
      <c r="Y117" s="468"/>
      <c r="Z117" s="468"/>
      <c r="AA117" s="468"/>
      <c r="AB117" s="468"/>
      <c r="AC117" s="468"/>
      <c r="AD117" s="468"/>
      <c r="AE117" s="468"/>
      <c r="AF117" s="468"/>
      <c r="AG117" s="468"/>
      <c r="AH117" s="468"/>
      <c r="AI117" s="468"/>
      <c r="AJ117" s="468"/>
      <c r="AK117" s="468"/>
      <c r="AL117" s="468"/>
      <c r="AM117" s="468"/>
      <c r="AN117" s="468"/>
      <c r="AO117" s="468"/>
      <c r="AP117" s="468"/>
      <c r="AQ117" s="468"/>
      <c r="AR117" s="468"/>
      <c r="AS117" s="468"/>
      <c r="AT117" s="468"/>
      <c r="AU117" s="468"/>
      <c r="AV117" s="468"/>
      <c r="AW117" s="468"/>
      <c r="AX117" s="468"/>
      <c r="AY117" s="468"/>
      <c r="AZ117" s="468"/>
      <c r="BA117" s="468"/>
      <c r="BB117" s="468"/>
      <c r="BC117" s="468"/>
      <c r="BD117" s="468"/>
      <c r="BE117" s="468"/>
      <c r="BF117" s="468"/>
      <c r="BG117" s="468"/>
      <c r="BH117" s="468"/>
      <c r="BI117" s="468"/>
      <c r="BJ117" s="468"/>
      <c r="BK117" s="468"/>
      <c r="BL117" s="468"/>
      <c r="BM117" s="468"/>
      <c r="BN117" s="468"/>
      <c r="BO117" s="468"/>
      <c r="BP117" s="468"/>
      <c r="BQ117" s="468"/>
      <c r="BR117" s="468"/>
      <c r="BS117" s="475"/>
      <c r="BT117" s="195"/>
      <c r="BU117" s="195"/>
      <c r="BV117" s="195"/>
      <c r="BW117" s="195"/>
      <c r="BX117" s="195"/>
      <c r="BY117" s="195"/>
      <c r="BZ117" s="194"/>
      <c r="CA117" s="194"/>
    </row>
    <row r="118" spans="2:79" ht="10.15" customHeight="1" x14ac:dyDescent="0.2">
      <c r="B118" s="195"/>
      <c r="C118" s="195"/>
      <c r="D118" s="195"/>
      <c r="E118" s="195"/>
      <c r="F118" s="469"/>
      <c r="G118" s="468"/>
      <c r="H118" s="759" t="e">
        <f>IF(AND(Daten!C356=1,Daten!E524=1),"x","")</f>
        <v>#N/A</v>
      </c>
      <c r="I118" s="759"/>
      <c r="J118" s="759"/>
      <c r="K118" s="464"/>
      <c r="L118" s="464"/>
      <c r="M118" s="464"/>
      <c r="N118" s="472" t="str">
        <f>IF(Daten!C356=1,"Heizkosten","Ergänzung:")</f>
        <v>Ergänzung:</v>
      </c>
      <c r="O118" s="470"/>
      <c r="P118" s="470"/>
      <c r="Q118" s="470"/>
      <c r="R118" s="470"/>
      <c r="S118" s="470"/>
      <c r="T118" s="470"/>
      <c r="U118" s="470"/>
      <c r="V118" s="470"/>
      <c r="W118" s="472" t="str">
        <f>IF(Daten!C356=1,"sind unangemessen. In Bestandsfällen: Prüfung der Gesamt-","Die Gesamtangemessenheitsgrenze nach § 22 Abs. 10 SGB II ist")</f>
        <v>Die Gesamtangemessenheitsgrenze nach § 22 Abs. 10 SGB II ist</v>
      </c>
      <c r="X118" s="472"/>
      <c r="Y118" s="472"/>
      <c r="Z118" s="472"/>
      <c r="AA118" s="472"/>
      <c r="AB118" s="472"/>
      <c r="AC118" s="472"/>
      <c r="AD118" s="472"/>
      <c r="AE118" s="472"/>
      <c r="AF118" s="472"/>
      <c r="AG118" s="472"/>
      <c r="AH118" s="472"/>
      <c r="AI118" s="472"/>
      <c r="AJ118" s="472"/>
      <c r="AK118" s="472"/>
      <c r="AL118" s="472"/>
      <c r="AM118" s="472"/>
      <c r="AN118" s="472"/>
      <c r="AO118" s="472"/>
      <c r="AP118" s="472"/>
      <c r="AQ118" s="472"/>
      <c r="AR118" s="472"/>
      <c r="AS118" s="472"/>
      <c r="AT118" s="472"/>
      <c r="AU118" s="472"/>
      <c r="AV118" s="472"/>
      <c r="AW118" s="472"/>
      <c r="AX118" s="472"/>
      <c r="AY118" s="472"/>
      <c r="AZ118" s="472"/>
      <c r="BA118" s="472"/>
      <c r="BB118" s="472"/>
      <c r="BC118" s="472"/>
      <c r="BD118" s="472"/>
      <c r="BE118" s="472"/>
      <c r="BF118" s="472"/>
      <c r="BG118" s="472"/>
      <c r="BH118" s="472"/>
      <c r="BI118" s="472"/>
      <c r="BJ118" s="472"/>
      <c r="BK118" s="472"/>
      <c r="BL118" s="472"/>
      <c r="BM118" s="472"/>
      <c r="BN118" s="472"/>
      <c r="BO118" s="472"/>
      <c r="BP118" s="472"/>
      <c r="BQ118" s="472"/>
      <c r="BR118" s="472"/>
      <c r="BS118" s="482"/>
      <c r="BT118" s="195"/>
      <c r="BU118" s="195"/>
      <c r="BV118" s="195"/>
      <c r="BW118" s="195"/>
      <c r="BX118" s="195"/>
      <c r="BY118" s="195"/>
      <c r="BZ118" s="184"/>
      <c r="CA118" s="184"/>
    </row>
    <row r="119" spans="2:79" ht="10.15" customHeight="1" x14ac:dyDescent="0.2">
      <c r="B119" s="195"/>
      <c r="C119" s="195"/>
      <c r="D119" s="195"/>
      <c r="E119" s="195"/>
      <c r="F119" s="469"/>
      <c r="G119" s="468"/>
      <c r="H119" s="468"/>
      <c r="I119" s="464"/>
      <c r="J119" s="464"/>
      <c r="K119" s="464"/>
      <c r="L119" s="464"/>
      <c r="M119" s="464"/>
      <c r="N119" s="468" t="b">
        <f>IF(Daten!C356=1,"angemesse")</f>
        <v>0</v>
      </c>
      <c r="O119" s="468"/>
      <c r="P119" s="468"/>
      <c r="Q119" s="468"/>
      <c r="R119" s="468"/>
      <c r="S119" s="468"/>
      <c r="T119" s="468"/>
      <c r="U119" s="468"/>
      <c r="V119" s="468"/>
      <c r="W119" s="464" t="str">
        <f>IF(Daten!C356=1,"nheitsgrenze, wenn die KdU angemessen sind.","noch zu prüfen, soweit die KdU angemessen sind.")</f>
        <v>noch zu prüfen, soweit die KdU angemessen sind.</v>
      </c>
      <c r="X119" s="468"/>
      <c r="Y119" s="468"/>
      <c r="Z119" s="468"/>
      <c r="AA119" s="468"/>
      <c r="AB119" s="468"/>
      <c r="AC119" s="468"/>
      <c r="AD119" s="468"/>
      <c r="AE119" s="468"/>
      <c r="AF119" s="468"/>
      <c r="AG119" s="468"/>
      <c r="AH119" s="468"/>
      <c r="AI119" s="468"/>
      <c r="AJ119" s="468"/>
      <c r="AK119" s="468"/>
      <c r="AL119" s="468"/>
      <c r="AM119" s="468"/>
      <c r="AN119" s="468"/>
      <c r="AO119" s="468"/>
      <c r="AP119" s="468"/>
      <c r="AQ119" s="468"/>
      <c r="AR119" s="468"/>
      <c r="AS119" s="468"/>
      <c r="AT119" s="468"/>
      <c r="AU119" s="468"/>
      <c r="AV119" s="468"/>
      <c r="AW119" s="468"/>
      <c r="AX119" s="468"/>
      <c r="AY119" s="468"/>
      <c r="AZ119" s="468"/>
      <c r="BA119" s="468"/>
      <c r="BB119" s="468"/>
      <c r="BC119" s="468"/>
      <c r="BD119" s="468"/>
      <c r="BE119" s="468"/>
      <c r="BF119" s="468"/>
      <c r="BG119" s="468"/>
      <c r="BH119" s="468"/>
      <c r="BI119" s="468"/>
      <c r="BJ119" s="468"/>
      <c r="BK119" s="468"/>
      <c r="BL119" s="468"/>
      <c r="BM119" s="468"/>
      <c r="BN119" s="468"/>
      <c r="BO119" s="468"/>
      <c r="BP119" s="468"/>
      <c r="BQ119" s="468"/>
      <c r="BR119" s="468"/>
      <c r="BS119" s="475"/>
      <c r="BT119" s="195"/>
      <c r="BU119" s="195"/>
      <c r="BV119" s="195"/>
      <c r="BW119" s="195"/>
      <c r="BX119" s="195"/>
      <c r="BY119" s="195"/>
      <c r="BZ119" s="184"/>
      <c r="CA119" s="184"/>
    </row>
    <row r="120" spans="2:79" ht="5.0999999999999996" customHeight="1" x14ac:dyDescent="0.2">
      <c r="B120" s="195"/>
      <c r="C120" s="195"/>
      <c r="D120" s="195"/>
      <c r="E120" s="195"/>
      <c r="F120" s="483"/>
      <c r="G120" s="484"/>
      <c r="H120" s="484"/>
      <c r="I120" s="484"/>
      <c r="J120" s="484"/>
      <c r="K120" s="484"/>
      <c r="L120" s="485"/>
      <c r="M120" s="484"/>
      <c r="N120" s="484"/>
      <c r="O120" s="484"/>
      <c r="P120" s="484"/>
      <c r="Q120" s="484"/>
      <c r="R120" s="484"/>
      <c r="S120" s="484"/>
      <c r="T120" s="484"/>
      <c r="U120" s="485"/>
      <c r="V120" s="484"/>
      <c r="W120" s="484"/>
      <c r="X120" s="484"/>
      <c r="Y120" s="484"/>
      <c r="Z120" s="484"/>
      <c r="AA120" s="484"/>
      <c r="AB120" s="484"/>
      <c r="AC120" s="484"/>
      <c r="AD120" s="484"/>
      <c r="AE120" s="484"/>
      <c r="AF120" s="484"/>
      <c r="AG120" s="484"/>
      <c r="AH120" s="484"/>
      <c r="AI120" s="484"/>
      <c r="AJ120" s="484"/>
      <c r="AK120" s="484"/>
      <c r="AL120" s="484"/>
      <c r="AM120" s="484"/>
      <c r="AN120" s="484"/>
      <c r="AO120" s="484"/>
      <c r="AP120" s="484"/>
      <c r="AQ120" s="484"/>
      <c r="AR120" s="484"/>
      <c r="AS120" s="484"/>
      <c r="AT120" s="484"/>
      <c r="AU120" s="484"/>
      <c r="AV120" s="484"/>
      <c r="AW120" s="484"/>
      <c r="AX120" s="484"/>
      <c r="AY120" s="484"/>
      <c r="AZ120" s="484"/>
      <c r="BA120" s="484"/>
      <c r="BB120" s="484"/>
      <c r="BC120" s="484"/>
      <c r="BD120" s="484"/>
      <c r="BE120" s="484"/>
      <c r="BF120" s="484"/>
      <c r="BG120" s="484"/>
      <c r="BH120" s="484"/>
      <c r="BI120" s="484"/>
      <c r="BJ120" s="484"/>
      <c r="BK120" s="484"/>
      <c r="BL120" s="484"/>
      <c r="BM120" s="484"/>
      <c r="BN120" s="484"/>
      <c r="BO120" s="484"/>
      <c r="BP120" s="484"/>
      <c r="BQ120" s="484"/>
      <c r="BR120" s="484"/>
      <c r="BS120" s="486"/>
      <c r="BT120" s="195"/>
      <c r="BU120" s="195"/>
      <c r="BV120" s="195"/>
      <c r="BW120" s="195"/>
      <c r="BX120" s="195"/>
      <c r="BY120" s="195"/>
      <c r="BZ120" s="184"/>
      <c r="CA120" s="184"/>
    </row>
    <row r="121" spans="2:79" ht="12.2" customHeight="1" x14ac:dyDescent="0.2">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c r="AN121" s="195"/>
      <c r="AO121" s="195"/>
      <c r="AP121" s="195"/>
      <c r="AQ121" s="195"/>
      <c r="AR121" s="195"/>
      <c r="AS121" s="195"/>
      <c r="AT121" s="195"/>
      <c r="AU121" s="195"/>
      <c r="AV121" s="195"/>
      <c r="AW121" s="195"/>
      <c r="AX121" s="195"/>
      <c r="AY121" s="195"/>
      <c r="AZ121" s="195"/>
      <c r="BA121" s="195"/>
      <c r="BB121" s="195"/>
      <c r="BC121" s="195"/>
      <c r="BD121" s="195"/>
      <c r="BE121" s="195"/>
      <c r="BF121" s="195"/>
      <c r="BG121" s="195"/>
      <c r="BH121" s="195"/>
      <c r="BI121" s="195"/>
      <c r="BJ121" s="195"/>
      <c r="BK121" s="195"/>
      <c r="BL121" s="195"/>
      <c r="BM121" s="195"/>
      <c r="BN121" s="195"/>
      <c r="BO121" s="195"/>
      <c r="BP121" s="195"/>
      <c r="BQ121" s="195"/>
      <c r="BR121" s="195"/>
      <c r="BS121" s="195"/>
      <c r="BT121" s="195"/>
      <c r="BU121" s="195"/>
      <c r="BV121" s="195"/>
      <c r="BW121" s="195"/>
      <c r="BX121" s="195"/>
      <c r="BY121" s="195"/>
      <c r="BZ121" s="184"/>
      <c r="CA121" s="184"/>
    </row>
    <row r="122" spans="2:79" ht="15" x14ac:dyDescent="0.25">
      <c r="B122" s="426" t="s">
        <v>1146</v>
      </c>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c r="AN122" s="195"/>
      <c r="AO122" s="195"/>
      <c r="AP122" s="195"/>
      <c r="AQ122" s="195"/>
      <c r="AR122" s="195"/>
      <c r="AS122" s="195"/>
      <c r="AT122" s="195"/>
      <c r="AU122" s="195"/>
      <c r="AV122" s="195"/>
      <c r="AW122" s="195"/>
      <c r="AX122" s="195"/>
      <c r="AY122" s="195"/>
      <c r="AZ122" s="195"/>
      <c r="BA122" s="195"/>
      <c r="BB122" s="195"/>
      <c r="BC122" s="195"/>
      <c r="BD122" s="195"/>
      <c r="BE122" s="195"/>
      <c r="BF122" s="195"/>
      <c r="BG122" s="195"/>
      <c r="BH122" s="195"/>
      <c r="BI122" s="195"/>
      <c r="BJ122" s="195"/>
      <c r="BK122" s="195"/>
      <c r="BL122" s="195"/>
      <c r="BM122" s="195"/>
      <c r="BN122" s="195"/>
      <c r="BO122" s="195"/>
      <c r="BP122" s="195"/>
      <c r="BQ122" s="195"/>
      <c r="BR122" s="195"/>
      <c r="BS122" s="195"/>
      <c r="BT122" s="195"/>
      <c r="BU122" s="195"/>
      <c r="BV122" s="195"/>
      <c r="BW122" s="195"/>
      <c r="BX122" s="195"/>
      <c r="BY122" s="195"/>
    </row>
    <row r="123" spans="2:79" ht="12.2" customHeight="1" x14ac:dyDescent="0.2">
      <c r="B123" s="194"/>
      <c r="C123" s="194"/>
      <c r="D123" s="194"/>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5"/>
      <c r="AN123" s="195"/>
      <c r="AO123" s="194"/>
      <c r="AP123" s="194"/>
      <c r="AQ123" s="194"/>
      <c r="AR123" s="194"/>
      <c r="AS123" s="194"/>
      <c r="AT123" s="194"/>
      <c r="AU123" s="194"/>
      <c r="AV123" s="194"/>
      <c r="AW123" s="194"/>
      <c r="AX123" s="194"/>
      <c r="AY123" s="194"/>
      <c r="AZ123" s="194"/>
      <c r="BA123" s="194"/>
      <c r="BB123" s="194"/>
      <c r="BC123" s="194"/>
      <c r="BD123" s="194"/>
      <c r="BE123" s="194"/>
      <c r="BF123" s="194"/>
      <c r="BG123" s="194"/>
      <c r="BH123" s="194"/>
      <c r="BI123" s="194"/>
      <c r="BJ123" s="194"/>
      <c r="BK123" s="194"/>
      <c r="BL123" s="194"/>
      <c r="BM123" s="194"/>
      <c r="BN123" s="194"/>
      <c r="BO123" s="194"/>
      <c r="BP123" s="194"/>
      <c r="BQ123" s="194"/>
      <c r="BR123" s="194"/>
      <c r="BS123" s="194"/>
      <c r="BT123" s="194"/>
      <c r="BU123" s="194"/>
      <c r="BV123" s="194"/>
      <c r="BW123" s="194"/>
      <c r="BX123" s="194"/>
      <c r="BY123" s="194"/>
    </row>
    <row r="124" spans="2:79" ht="8.1" customHeight="1" x14ac:dyDescent="0.2">
      <c r="B124" s="194"/>
      <c r="C124" s="194"/>
      <c r="D124" s="194"/>
      <c r="E124" s="194"/>
      <c r="F124" s="194"/>
      <c r="G124" s="194"/>
      <c r="H124" s="194"/>
      <c r="I124" s="194"/>
      <c r="J124" s="453"/>
      <c r="K124" s="428"/>
      <c r="L124" s="428"/>
      <c r="M124" s="428"/>
      <c r="N124" s="428"/>
      <c r="O124" s="428"/>
      <c r="P124" s="428"/>
      <c r="Q124" s="428"/>
      <c r="R124" s="428"/>
      <c r="S124" s="428"/>
      <c r="T124" s="428"/>
      <c r="U124" s="428"/>
      <c r="V124" s="428"/>
      <c r="W124" s="428"/>
      <c r="X124" s="428"/>
      <c r="Y124" s="428"/>
      <c r="Z124" s="428"/>
      <c r="AA124" s="428"/>
      <c r="AB124" s="428"/>
      <c r="AC124" s="428"/>
      <c r="AD124" s="428"/>
      <c r="AE124" s="428"/>
      <c r="AF124" s="428"/>
      <c r="AG124" s="428"/>
      <c r="AH124" s="428"/>
      <c r="AI124" s="428"/>
      <c r="AJ124" s="428"/>
      <c r="AK124" s="428"/>
      <c r="AL124" s="428"/>
      <c r="AM124" s="427"/>
      <c r="AN124" s="427"/>
      <c r="AO124" s="428"/>
      <c r="AP124" s="428"/>
      <c r="AQ124" s="428"/>
      <c r="AR124" s="428"/>
      <c r="AS124" s="428"/>
      <c r="AT124" s="428"/>
      <c r="AU124" s="428"/>
      <c r="AV124" s="428"/>
      <c r="AW124" s="428"/>
      <c r="AX124" s="428"/>
      <c r="AY124" s="428"/>
      <c r="AZ124" s="428"/>
      <c r="BA124" s="428"/>
      <c r="BB124" s="428"/>
      <c r="BC124" s="428"/>
      <c r="BD124" s="428"/>
      <c r="BE124" s="428"/>
      <c r="BF124" s="428"/>
      <c r="BG124" s="428"/>
      <c r="BH124" s="428"/>
      <c r="BI124" s="428"/>
      <c r="BJ124" s="428"/>
      <c r="BK124" s="428"/>
      <c r="BL124" s="428"/>
      <c r="BM124" s="428"/>
      <c r="BN124" s="428"/>
      <c r="BO124" s="428"/>
      <c r="BP124" s="428"/>
      <c r="BQ124" s="428"/>
      <c r="BR124" s="487"/>
      <c r="BS124" s="194"/>
      <c r="BT124" s="194"/>
      <c r="BU124" s="194"/>
      <c r="BV124" s="194"/>
      <c r="BW124" s="194"/>
      <c r="BX124" s="194"/>
      <c r="BY124" s="194"/>
    </row>
    <row r="125" spans="2:79" ht="10.15" customHeight="1" x14ac:dyDescent="0.2">
      <c r="B125" s="195"/>
      <c r="C125" s="195"/>
      <c r="D125" s="195"/>
      <c r="E125" s="195"/>
      <c r="F125" s="195"/>
      <c r="G125" s="194"/>
      <c r="H125" s="195"/>
      <c r="I125" s="195"/>
      <c r="J125" s="418"/>
      <c r="K125" s="194"/>
      <c r="L125" s="195" t="s">
        <v>888</v>
      </c>
      <c r="M125" s="195"/>
      <c r="N125" s="194"/>
      <c r="O125" s="195"/>
      <c r="P125" s="195"/>
      <c r="Q125" s="195"/>
      <c r="R125" s="195"/>
      <c r="S125" s="195"/>
      <c r="T125" s="195"/>
      <c r="U125" s="194"/>
      <c r="V125" s="195"/>
      <c r="W125" s="195"/>
      <c r="X125" s="195"/>
      <c r="Y125" s="195"/>
      <c r="Z125" s="195"/>
      <c r="AA125" s="195"/>
      <c r="AB125" s="195"/>
      <c r="AC125" s="195"/>
      <c r="AD125" s="195"/>
      <c r="AE125" s="195"/>
      <c r="AF125" s="195"/>
      <c r="AG125" s="195"/>
      <c r="AH125" s="195"/>
      <c r="AI125" s="195"/>
      <c r="AJ125" s="195"/>
      <c r="AK125" s="195"/>
      <c r="AL125" s="195"/>
      <c r="AM125" s="195"/>
      <c r="AN125" s="195"/>
      <c r="AO125" s="195"/>
      <c r="AP125" s="195"/>
      <c r="AQ125" s="195"/>
      <c r="AR125" s="195"/>
      <c r="AS125" s="194"/>
      <c r="AT125" s="194"/>
      <c r="AU125" s="194"/>
      <c r="AV125" s="194"/>
      <c r="AW125" s="194"/>
      <c r="AX125" s="194"/>
      <c r="AY125" s="194"/>
      <c r="AZ125" s="194"/>
      <c r="BA125" s="194"/>
      <c r="BB125" s="697" t="e">
        <f>Daten!E521</f>
        <v>#N/A</v>
      </c>
      <c r="BC125" s="674"/>
      <c r="BD125" s="674"/>
      <c r="BE125" s="674"/>
      <c r="BF125" s="674"/>
      <c r="BG125" s="674"/>
      <c r="BH125" s="674"/>
      <c r="BI125" s="674"/>
      <c r="BJ125" s="674"/>
      <c r="BK125" s="674"/>
      <c r="BL125" s="674"/>
      <c r="BM125" s="194"/>
      <c r="BN125" s="424" t="s">
        <v>853</v>
      </c>
      <c r="BO125" s="194"/>
      <c r="BP125" s="194"/>
      <c r="BQ125" s="194"/>
      <c r="BR125" s="488"/>
      <c r="BS125" s="424"/>
      <c r="BT125" s="424"/>
      <c r="BU125" s="424"/>
      <c r="BV125" s="424"/>
      <c r="BW125" s="424"/>
      <c r="BX125" s="195"/>
      <c r="BY125" s="195"/>
    </row>
    <row r="126" spans="2:79" ht="5.0999999999999996" customHeight="1" x14ac:dyDescent="0.2">
      <c r="B126" s="195"/>
      <c r="C126" s="195"/>
      <c r="D126" s="195"/>
      <c r="E126" s="195"/>
      <c r="F126" s="195"/>
      <c r="G126" s="195"/>
      <c r="H126" s="195"/>
      <c r="I126" s="195"/>
      <c r="J126" s="431"/>
      <c r="K126" s="195"/>
      <c r="L126" s="195"/>
      <c r="M126" s="195"/>
      <c r="N126" s="195"/>
      <c r="O126" s="195"/>
      <c r="P126" s="195"/>
      <c r="Q126" s="195"/>
      <c r="R126" s="195"/>
      <c r="S126" s="195"/>
      <c r="T126" s="195"/>
      <c r="U126" s="195"/>
      <c r="V126" s="195"/>
      <c r="W126" s="195"/>
      <c r="X126" s="195"/>
      <c r="Y126" s="195"/>
      <c r="Z126" s="437"/>
      <c r="AA126" s="424"/>
      <c r="AB126" s="424"/>
      <c r="AC126" s="424"/>
      <c r="AD126" s="424"/>
      <c r="AE126" s="424"/>
      <c r="AF126" s="424"/>
      <c r="AG126" s="424"/>
      <c r="AH126" s="424"/>
      <c r="AI126" s="424"/>
      <c r="AJ126" s="424"/>
      <c r="AK126" s="195"/>
      <c r="AL126" s="195"/>
      <c r="AM126" s="195"/>
      <c r="AN126" s="195"/>
      <c r="AO126" s="195"/>
      <c r="AP126" s="195"/>
      <c r="AQ126" s="195"/>
      <c r="AR126" s="195"/>
      <c r="AS126" s="195"/>
      <c r="AT126" s="195"/>
      <c r="AU126" s="195"/>
      <c r="AV126" s="195"/>
      <c r="AW126" s="195"/>
      <c r="AX126" s="195"/>
      <c r="AY126" s="195"/>
      <c r="AZ126" s="195"/>
      <c r="BA126" s="195"/>
      <c r="BB126" s="194"/>
      <c r="BC126" s="194"/>
      <c r="BD126" s="194"/>
      <c r="BE126" s="194"/>
      <c r="BF126" s="194"/>
      <c r="BG126" s="194"/>
      <c r="BH126" s="194"/>
      <c r="BI126" s="194"/>
      <c r="BJ126" s="194"/>
      <c r="BK126" s="194"/>
      <c r="BL126" s="194"/>
      <c r="BM126" s="194"/>
      <c r="BN126" s="194"/>
      <c r="BO126" s="424"/>
      <c r="BP126" s="424"/>
      <c r="BQ126" s="424"/>
      <c r="BR126" s="488"/>
      <c r="BS126" s="424"/>
      <c r="BT126" s="424"/>
      <c r="BU126" s="424"/>
      <c r="BV126" s="424"/>
      <c r="BW126" s="424"/>
      <c r="BX126" s="195"/>
      <c r="BY126" s="195"/>
    </row>
    <row r="127" spans="2:79" ht="10.15" customHeight="1" x14ac:dyDescent="0.2">
      <c r="B127" s="195"/>
      <c r="C127" s="195"/>
      <c r="D127" s="195"/>
      <c r="E127" s="195"/>
      <c r="F127" s="195"/>
      <c r="G127" s="195"/>
      <c r="H127" s="195"/>
      <c r="I127" s="195"/>
      <c r="J127" s="418"/>
      <c r="K127" s="194"/>
      <c r="L127" s="195" t="s">
        <v>1157</v>
      </c>
      <c r="M127" s="195"/>
      <c r="N127" s="195"/>
      <c r="O127" s="195"/>
      <c r="P127" s="195"/>
      <c r="Q127" s="195"/>
      <c r="R127" s="195"/>
      <c r="S127" s="195"/>
      <c r="T127" s="195"/>
      <c r="U127" s="194"/>
      <c r="V127" s="195"/>
      <c r="W127" s="195"/>
      <c r="X127" s="195"/>
      <c r="Y127" s="195"/>
      <c r="Z127" s="195"/>
      <c r="AA127" s="195"/>
      <c r="AB127" s="195"/>
      <c r="AC127" s="195"/>
      <c r="AD127" s="195"/>
      <c r="AE127" s="195"/>
      <c r="AF127" s="195"/>
      <c r="AG127" s="195"/>
      <c r="AH127" s="195"/>
      <c r="AI127" s="195"/>
      <c r="AJ127" s="195"/>
      <c r="AK127" s="195"/>
      <c r="AL127" s="195"/>
      <c r="AM127" s="195"/>
      <c r="AN127" s="195"/>
      <c r="AO127" s="195"/>
      <c r="AP127" s="195"/>
      <c r="AQ127" s="195"/>
      <c r="AR127" s="195"/>
      <c r="AS127" s="194"/>
      <c r="AT127" s="194"/>
      <c r="AU127" s="194"/>
      <c r="AV127" s="194"/>
      <c r="AW127" s="194"/>
      <c r="AX127" s="194"/>
      <c r="AY127" s="194"/>
      <c r="AZ127" s="194"/>
      <c r="BA127" s="194"/>
      <c r="BB127" s="697">
        <f>Daten!E520</f>
        <v>0</v>
      </c>
      <c r="BC127" s="674"/>
      <c r="BD127" s="674"/>
      <c r="BE127" s="674"/>
      <c r="BF127" s="674"/>
      <c r="BG127" s="674"/>
      <c r="BH127" s="674"/>
      <c r="BI127" s="674"/>
      <c r="BJ127" s="674"/>
      <c r="BK127" s="674"/>
      <c r="BL127" s="674"/>
      <c r="BM127" s="194"/>
      <c r="BN127" s="424" t="s">
        <v>853</v>
      </c>
      <c r="BO127" s="194"/>
      <c r="BP127" s="194"/>
      <c r="BQ127" s="424"/>
      <c r="BR127" s="488"/>
      <c r="BS127" s="424"/>
      <c r="BT127" s="424"/>
      <c r="BU127" s="424"/>
      <c r="BV127" s="424"/>
      <c r="BW127" s="424"/>
      <c r="BX127" s="195"/>
      <c r="BY127" s="195"/>
    </row>
    <row r="128" spans="2:79" ht="3.2" customHeight="1" x14ac:dyDescent="0.2">
      <c r="B128" s="195"/>
      <c r="C128" s="195"/>
      <c r="D128" s="195"/>
      <c r="E128" s="195"/>
      <c r="F128" s="195"/>
      <c r="G128" s="195"/>
      <c r="H128" s="195"/>
      <c r="I128" s="195"/>
      <c r="J128" s="431"/>
      <c r="K128" s="195"/>
      <c r="L128" s="195"/>
      <c r="M128" s="195"/>
      <c r="N128" s="195"/>
      <c r="O128" s="195"/>
      <c r="P128" s="195"/>
      <c r="Q128" s="195"/>
      <c r="R128" s="195"/>
      <c r="S128" s="195"/>
      <c r="T128" s="195"/>
      <c r="U128" s="194"/>
      <c r="V128" s="194"/>
      <c r="W128" s="194"/>
      <c r="X128" s="194"/>
      <c r="Y128" s="194"/>
      <c r="Z128" s="194"/>
      <c r="AA128" s="194"/>
      <c r="AB128" s="194"/>
      <c r="AC128" s="194"/>
      <c r="AD128" s="194"/>
      <c r="AE128" s="194"/>
      <c r="AF128" s="194"/>
      <c r="AG128" s="194"/>
      <c r="AH128" s="194"/>
      <c r="AI128" s="194"/>
      <c r="AJ128" s="194"/>
      <c r="AK128" s="194"/>
      <c r="AL128" s="194"/>
      <c r="AM128" s="194"/>
      <c r="AN128" s="194"/>
      <c r="AO128" s="194"/>
      <c r="AP128" s="194"/>
      <c r="AQ128" s="194"/>
      <c r="AR128" s="194"/>
      <c r="AS128" s="194"/>
      <c r="AT128" s="194"/>
      <c r="AU128" s="194"/>
      <c r="AV128" s="194"/>
      <c r="AW128" s="194"/>
      <c r="AX128" s="194"/>
      <c r="AY128" s="194"/>
      <c r="AZ128" s="194"/>
      <c r="BA128" s="194"/>
      <c r="BB128" s="194"/>
      <c r="BC128" s="194"/>
      <c r="BD128" s="194"/>
      <c r="BE128" s="194"/>
      <c r="BF128" s="194"/>
      <c r="BG128" s="194"/>
      <c r="BH128" s="194"/>
      <c r="BI128" s="194"/>
      <c r="BJ128" s="194"/>
      <c r="BK128" s="194"/>
      <c r="BL128" s="194"/>
      <c r="BM128" s="194"/>
      <c r="BN128" s="194"/>
      <c r="BO128" s="424"/>
      <c r="BP128" s="424"/>
      <c r="BQ128" s="424"/>
      <c r="BR128" s="488"/>
      <c r="BS128" s="424"/>
      <c r="BT128" s="424"/>
      <c r="BU128" s="424"/>
      <c r="BV128" s="424"/>
      <c r="BW128" s="424"/>
      <c r="BX128" s="195"/>
      <c r="BY128" s="195"/>
    </row>
    <row r="129" spans="2:77" ht="3.2" customHeight="1" x14ac:dyDescent="0.2">
      <c r="B129" s="195"/>
      <c r="C129" s="195"/>
      <c r="D129" s="195"/>
      <c r="E129" s="195"/>
      <c r="F129" s="195"/>
      <c r="G129" s="195"/>
      <c r="H129" s="195"/>
      <c r="I129" s="195"/>
      <c r="J129" s="431"/>
      <c r="K129" s="195"/>
      <c r="L129" s="195"/>
      <c r="M129" s="195"/>
      <c r="N129" s="195"/>
      <c r="O129" s="195"/>
      <c r="P129" s="195"/>
      <c r="Q129" s="195"/>
      <c r="R129" s="195"/>
      <c r="S129" s="195"/>
      <c r="T129" s="195"/>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c r="AR129" s="194"/>
      <c r="AS129" s="194"/>
      <c r="AT129" s="194"/>
      <c r="AU129" s="194"/>
      <c r="AV129" s="194"/>
      <c r="AW129" s="194"/>
      <c r="AX129" s="194"/>
      <c r="AY129" s="194"/>
      <c r="AZ129" s="194"/>
      <c r="BA129" s="194"/>
      <c r="BB129" s="194"/>
      <c r="BC129" s="194"/>
      <c r="BD129" s="194"/>
      <c r="BE129" s="194"/>
      <c r="BF129" s="194"/>
      <c r="BG129" s="194"/>
      <c r="BH129" s="194"/>
      <c r="BI129" s="194"/>
      <c r="BJ129" s="194"/>
      <c r="BK129" s="194"/>
      <c r="BL129" s="194"/>
      <c r="BM129" s="194"/>
      <c r="BN129" s="194"/>
      <c r="BO129" s="424"/>
      <c r="BP129" s="424"/>
      <c r="BQ129" s="424"/>
      <c r="BR129" s="488"/>
      <c r="BS129" s="424"/>
      <c r="BT129" s="424"/>
      <c r="BU129" s="424"/>
      <c r="BV129" s="424"/>
      <c r="BW129" s="424"/>
      <c r="BX129" s="195"/>
      <c r="BY129" s="195"/>
    </row>
    <row r="130" spans="2:77" ht="10.15" customHeight="1" x14ac:dyDescent="0.2">
      <c r="B130" s="195"/>
      <c r="C130" s="195"/>
      <c r="D130" s="195"/>
      <c r="E130" s="195"/>
      <c r="F130" s="195"/>
      <c r="G130" s="195"/>
      <c r="H130" s="195"/>
      <c r="I130" s="195"/>
      <c r="J130" s="418"/>
      <c r="K130" s="194"/>
      <c r="L130" s="429" t="e">
        <f>IF(Daten!E528=0,Daten!G529,IF(Daten!E528=1,Daten!G528,""))</f>
        <v>#N/A</v>
      </c>
      <c r="M130" s="195"/>
      <c r="N130" s="195"/>
      <c r="O130" s="195"/>
      <c r="P130" s="195"/>
      <c r="Q130" s="195"/>
      <c r="R130" s="195"/>
      <c r="S130" s="195"/>
      <c r="T130" s="195"/>
      <c r="U130" s="195"/>
      <c r="V130" s="195"/>
      <c r="W130" s="195"/>
      <c r="X130" s="195"/>
      <c r="Y130" s="195"/>
      <c r="Z130" s="437"/>
      <c r="AA130" s="424"/>
      <c r="AB130" s="424"/>
      <c r="AC130" s="424"/>
      <c r="AD130" s="424"/>
      <c r="AE130" s="424"/>
      <c r="AF130" s="424"/>
      <c r="AG130" s="424"/>
      <c r="AH130" s="424"/>
      <c r="AI130" s="424"/>
      <c r="AJ130" s="424"/>
      <c r="AK130" s="195"/>
      <c r="AL130" s="195"/>
      <c r="AM130" s="195"/>
      <c r="AN130" s="195"/>
      <c r="AO130" s="195"/>
      <c r="AP130" s="195"/>
      <c r="AQ130" s="195"/>
      <c r="AR130" s="195"/>
      <c r="AS130" s="195"/>
      <c r="AT130" s="195"/>
      <c r="AU130" s="195"/>
      <c r="AV130" s="195"/>
      <c r="AW130" s="195"/>
      <c r="AX130" s="195"/>
      <c r="AY130" s="195"/>
      <c r="AZ130" s="195"/>
      <c r="BA130" s="195"/>
      <c r="BB130" s="760" t="e">
        <f>Daten!E530*-1</f>
        <v>#N/A</v>
      </c>
      <c r="BC130" s="761"/>
      <c r="BD130" s="761"/>
      <c r="BE130" s="761"/>
      <c r="BF130" s="761"/>
      <c r="BG130" s="761"/>
      <c r="BH130" s="761"/>
      <c r="BI130" s="761"/>
      <c r="BJ130" s="761"/>
      <c r="BK130" s="761"/>
      <c r="BL130" s="761"/>
      <c r="BM130" s="194"/>
      <c r="BN130" s="489" t="s">
        <v>853</v>
      </c>
      <c r="BO130" s="194"/>
      <c r="BP130" s="194"/>
      <c r="BQ130" s="424"/>
      <c r="BR130" s="488"/>
      <c r="BS130" s="424"/>
      <c r="BT130" s="424"/>
      <c r="BU130" s="424"/>
      <c r="BV130" s="424"/>
      <c r="BW130" s="424"/>
      <c r="BX130" s="195"/>
      <c r="BY130" s="195"/>
    </row>
    <row r="131" spans="2:77" ht="8.1" customHeight="1" x14ac:dyDescent="0.2">
      <c r="B131" s="195"/>
      <c r="C131" s="195"/>
      <c r="D131" s="195"/>
      <c r="E131" s="195"/>
      <c r="F131" s="195"/>
      <c r="G131" s="195"/>
      <c r="H131" s="195"/>
      <c r="I131" s="195"/>
      <c r="J131" s="433"/>
      <c r="K131" s="434"/>
      <c r="L131" s="434"/>
      <c r="M131" s="434"/>
      <c r="N131" s="434"/>
      <c r="O131" s="434"/>
      <c r="P131" s="434"/>
      <c r="Q131" s="434"/>
      <c r="R131" s="434"/>
      <c r="S131" s="434"/>
      <c r="T131" s="434"/>
      <c r="U131" s="434"/>
      <c r="V131" s="434"/>
      <c r="W131" s="434"/>
      <c r="X131" s="434"/>
      <c r="Y131" s="434"/>
      <c r="Z131" s="490"/>
      <c r="AA131" s="491"/>
      <c r="AB131" s="491"/>
      <c r="AC131" s="491"/>
      <c r="AD131" s="491"/>
      <c r="AE131" s="491"/>
      <c r="AF131" s="491"/>
      <c r="AG131" s="491"/>
      <c r="AH131" s="491"/>
      <c r="AI131" s="491"/>
      <c r="AJ131" s="491"/>
      <c r="AK131" s="434"/>
      <c r="AL131" s="434"/>
      <c r="AM131" s="434"/>
      <c r="AN131" s="434"/>
      <c r="AO131" s="434"/>
      <c r="AP131" s="434"/>
      <c r="AQ131" s="434"/>
      <c r="AR131" s="434"/>
      <c r="AS131" s="434"/>
      <c r="AT131" s="434"/>
      <c r="AU131" s="434"/>
      <c r="AV131" s="434"/>
      <c r="AW131" s="434"/>
      <c r="AX131" s="434"/>
      <c r="AY131" s="434"/>
      <c r="AZ131" s="434"/>
      <c r="BA131" s="434"/>
      <c r="BB131" s="435"/>
      <c r="BC131" s="435"/>
      <c r="BD131" s="435"/>
      <c r="BE131" s="435"/>
      <c r="BF131" s="435"/>
      <c r="BG131" s="435"/>
      <c r="BH131" s="435"/>
      <c r="BI131" s="435"/>
      <c r="BJ131" s="435"/>
      <c r="BK131" s="435"/>
      <c r="BL131" s="435"/>
      <c r="BM131" s="435"/>
      <c r="BN131" s="435"/>
      <c r="BO131" s="491"/>
      <c r="BP131" s="491"/>
      <c r="BQ131" s="491"/>
      <c r="BR131" s="492"/>
      <c r="BS131" s="424"/>
      <c r="BT131" s="424"/>
      <c r="BU131" s="424"/>
      <c r="BV131" s="424"/>
      <c r="BW131" s="424"/>
      <c r="BX131" s="195"/>
      <c r="BY131" s="195"/>
    </row>
    <row r="132" spans="2:77" x14ac:dyDescent="0.2">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437"/>
      <c r="AA132" s="424"/>
      <c r="AB132" s="424"/>
      <c r="AC132" s="424"/>
      <c r="AD132" s="424"/>
      <c r="AE132" s="424"/>
      <c r="AF132" s="424"/>
      <c r="AG132" s="424"/>
      <c r="AH132" s="424"/>
      <c r="AI132" s="424"/>
      <c r="AJ132" s="424"/>
      <c r="AK132" s="195"/>
      <c r="AL132" s="195"/>
      <c r="AM132" s="195"/>
      <c r="AN132" s="195"/>
      <c r="AO132" s="195"/>
      <c r="AP132" s="195"/>
      <c r="AQ132" s="195"/>
      <c r="AR132" s="195"/>
      <c r="AS132" s="195"/>
      <c r="AT132" s="195"/>
      <c r="AU132" s="195"/>
      <c r="AV132" s="195"/>
      <c r="AW132" s="195"/>
      <c r="AX132" s="195"/>
      <c r="AY132" s="195"/>
      <c r="AZ132" s="195"/>
      <c r="BA132" s="195"/>
      <c r="BB132" s="194"/>
      <c r="BC132" s="194"/>
      <c r="BD132" s="194"/>
      <c r="BE132" s="194"/>
      <c r="BF132" s="194"/>
      <c r="BG132" s="194"/>
      <c r="BH132" s="194"/>
      <c r="BI132" s="194"/>
      <c r="BJ132" s="194"/>
      <c r="BK132" s="194"/>
      <c r="BL132" s="194"/>
      <c r="BM132" s="194"/>
      <c r="BN132" s="194"/>
      <c r="BO132" s="424"/>
      <c r="BP132" s="424"/>
      <c r="BQ132" s="424"/>
      <c r="BR132" s="424"/>
      <c r="BS132" s="424"/>
      <c r="BT132" s="424"/>
      <c r="BU132" s="424"/>
      <c r="BV132" s="424"/>
      <c r="BW132" s="424"/>
      <c r="BX132" s="195"/>
      <c r="BY132" s="195"/>
    </row>
    <row r="133" spans="2:77" ht="5.0999999999999996" customHeight="1" x14ac:dyDescent="0.2">
      <c r="B133" s="195"/>
      <c r="C133" s="195"/>
      <c r="D133" s="195"/>
      <c r="E133" s="195"/>
      <c r="F133" s="459"/>
      <c r="G133" s="460"/>
      <c r="H133" s="460"/>
      <c r="I133" s="460"/>
      <c r="J133" s="460"/>
      <c r="K133" s="460"/>
      <c r="L133" s="460"/>
      <c r="M133" s="461"/>
      <c r="N133" s="461"/>
      <c r="O133" s="461"/>
      <c r="P133" s="461"/>
      <c r="Q133" s="461"/>
      <c r="R133" s="461"/>
      <c r="S133" s="461"/>
      <c r="T133" s="461"/>
      <c r="U133" s="461"/>
      <c r="V133" s="461"/>
      <c r="W133" s="461"/>
      <c r="X133" s="461"/>
      <c r="Y133" s="461"/>
      <c r="Z133" s="461"/>
      <c r="AA133" s="461"/>
      <c r="AB133" s="461"/>
      <c r="AC133" s="461"/>
      <c r="AD133" s="461"/>
      <c r="AE133" s="461"/>
      <c r="AF133" s="461"/>
      <c r="AG133" s="461"/>
      <c r="AH133" s="461"/>
      <c r="AI133" s="461"/>
      <c r="AJ133" s="461"/>
      <c r="AK133" s="461"/>
      <c r="AL133" s="461"/>
      <c r="AM133" s="461"/>
      <c r="AN133" s="461"/>
      <c r="AO133" s="461"/>
      <c r="AP133" s="461"/>
      <c r="AQ133" s="461"/>
      <c r="AR133" s="461"/>
      <c r="AS133" s="461"/>
      <c r="AT133" s="461"/>
      <c r="AU133" s="461"/>
      <c r="AV133" s="461"/>
      <c r="AW133" s="461"/>
      <c r="AX133" s="461"/>
      <c r="AY133" s="461"/>
      <c r="AZ133" s="461"/>
      <c r="BA133" s="461"/>
      <c r="BB133" s="461"/>
      <c r="BC133" s="461"/>
      <c r="BD133" s="461"/>
      <c r="BE133" s="461"/>
      <c r="BF133" s="461"/>
      <c r="BG133" s="461"/>
      <c r="BH133" s="461"/>
      <c r="BI133" s="461"/>
      <c r="BJ133" s="461"/>
      <c r="BK133" s="461"/>
      <c r="BL133" s="461"/>
      <c r="BM133" s="461"/>
      <c r="BN133" s="461"/>
      <c r="BO133" s="461"/>
      <c r="BP133" s="461"/>
      <c r="BQ133" s="461"/>
      <c r="BR133" s="461"/>
      <c r="BS133" s="462"/>
      <c r="BT133" s="195"/>
      <c r="BU133" s="195"/>
      <c r="BV133" s="195"/>
      <c r="BW133" s="195"/>
      <c r="BX133" s="195"/>
      <c r="BY133" s="195"/>
    </row>
    <row r="134" spans="2:77" ht="11.25" customHeight="1" x14ac:dyDescent="0.2">
      <c r="B134" s="195"/>
      <c r="C134" s="195"/>
      <c r="D134" s="195"/>
      <c r="E134" s="195"/>
      <c r="F134" s="463"/>
      <c r="G134" s="464"/>
      <c r="H134" s="753" t="e">
        <f>IF(Daten!E528=1,"x","")</f>
        <v>#N/A</v>
      </c>
      <c r="I134" s="754"/>
      <c r="J134" s="755"/>
      <c r="K134" s="465"/>
      <c r="L134" s="465"/>
      <c r="M134" s="464"/>
      <c r="N134" s="762" t="s">
        <v>1147</v>
      </c>
      <c r="O134" s="762"/>
      <c r="P134" s="762"/>
      <c r="Q134" s="762"/>
      <c r="R134" s="762"/>
      <c r="S134" s="762"/>
      <c r="T134" s="762"/>
      <c r="U134" s="762"/>
      <c r="V134" s="762"/>
      <c r="W134" s="762"/>
      <c r="X134" s="762"/>
      <c r="Y134" s="762"/>
      <c r="Z134" s="762"/>
      <c r="AA134" s="762"/>
      <c r="AB134" s="762"/>
      <c r="AC134" s="762"/>
      <c r="AD134" s="762"/>
      <c r="AE134" s="762"/>
      <c r="AF134" s="762"/>
      <c r="AG134" s="762"/>
      <c r="AH134" s="762"/>
      <c r="AI134" s="762"/>
      <c r="AJ134" s="762"/>
      <c r="AK134" s="762"/>
      <c r="AL134" s="762"/>
      <c r="AM134" s="762"/>
      <c r="AN134" s="762"/>
      <c r="AO134" s="762"/>
      <c r="AP134" s="762"/>
      <c r="AQ134" s="762"/>
      <c r="AR134" s="762"/>
      <c r="AS134" s="762"/>
      <c r="AT134" s="762"/>
      <c r="AU134" s="762"/>
      <c r="AV134" s="762"/>
      <c r="AW134" s="762"/>
      <c r="AX134" s="762"/>
      <c r="AY134" s="762"/>
      <c r="AZ134" s="762"/>
      <c r="BA134" s="762"/>
      <c r="BB134" s="762"/>
      <c r="BC134" s="762"/>
      <c r="BD134" s="762"/>
      <c r="BE134" s="762"/>
      <c r="BF134" s="762"/>
      <c r="BG134" s="762"/>
      <c r="BH134" s="762"/>
      <c r="BI134" s="762"/>
      <c r="BJ134" s="762"/>
      <c r="BK134" s="762"/>
      <c r="BL134" s="762"/>
      <c r="BM134" s="762"/>
      <c r="BN134" s="762"/>
      <c r="BO134" s="762"/>
      <c r="BP134" s="762"/>
      <c r="BQ134" s="762"/>
      <c r="BR134" s="762"/>
      <c r="BS134" s="763"/>
      <c r="BT134" s="194"/>
      <c r="BU134" s="195"/>
      <c r="BV134" s="195"/>
      <c r="BW134" s="195"/>
      <c r="BX134" s="195"/>
      <c r="BY134" s="195"/>
    </row>
    <row r="135" spans="2:77" ht="5.0999999999999996" customHeight="1" x14ac:dyDescent="0.2">
      <c r="B135" s="195"/>
      <c r="C135" s="195"/>
      <c r="D135" s="195"/>
      <c r="E135" s="195"/>
      <c r="F135" s="477"/>
      <c r="G135" s="464"/>
      <c r="H135" s="464"/>
      <c r="I135" s="464"/>
      <c r="J135" s="464"/>
      <c r="K135" s="464"/>
      <c r="L135" s="480"/>
      <c r="M135" s="476"/>
      <c r="N135" s="464"/>
      <c r="O135" s="464"/>
      <c r="P135" s="464"/>
      <c r="Q135" s="464"/>
      <c r="R135" s="464"/>
      <c r="S135" s="464"/>
      <c r="T135" s="464"/>
      <c r="U135" s="464"/>
      <c r="V135" s="464"/>
      <c r="W135" s="464"/>
      <c r="X135" s="464"/>
      <c r="Y135" s="464"/>
      <c r="Z135" s="464"/>
      <c r="AA135" s="464"/>
      <c r="AB135" s="464"/>
      <c r="AC135" s="464"/>
      <c r="AD135" s="464"/>
      <c r="AE135" s="464"/>
      <c r="AF135" s="464"/>
      <c r="AG135" s="464"/>
      <c r="AH135" s="464"/>
      <c r="AI135" s="464"/>
      <c r="AJ135" s="464"/>
      <c r="AK135" s="464"/>
      <c r="AL135" s="464"/>
      <c r="AM135" s="464"/>
      <c r="AN135" s="464"/>
      <c r="AO135" s="464"/>
      <c r="AP135" s="464"/>
      <c r="AQ135" s="464"/>
      <c r="AR135" s="464"/>
      <c r="AS135" s="464"/>
      <c r="AT135" s="464"/>
      <c r="AU135" s="464"/>
      <c r="AV135" s="464"/>
      <c r="AW135" s="464"/>
      <c r="AX135" s="464"/>
      <c r="AY135" s="464"/>
      <c r="AZ135" s="464"/>
      <c r="BA135" s="464"/>
      <c r="BB135" s="464"/>
      <c r="BC135" s="464"/>
      <c r="BD135" s="464"/>
      <c r="BE135" s="464"/>
      <c r="BF135" s="464"/>
      <c r="BG135" s="464"/>
      <c r="BH135" s="464"/>
      <c r="BI135" s="464"/>
      <c r="BJ135" s="464"/>
      <c r="BK135" s="464"/>
      <c r="BL135" s="464"/>
      <c r="BM135" s="464"/>
      <c r="BN135" s="464"/>
      <c r="BO135" s="464"/>
      <c r="BP135" s="464"/>
      <c r="BQ135" s="464"/>
      <c r="BR135" s="464"/>
      <c r="BS135" s="493"/>
      <c r="BT135" s="195"/>
      <c r="BU135" s="195"/>
      <c r="BV135" s="195"/>
      <c r="BW135" s="195"/>
      <c r="BX135" s="195"/>
      <c r="BY135" s="195"/>
    </row>
    <row r="136" spans="2:77" ht="1.1499999999999999" customHeight="1" x14ac:dyDescent="0.2">
      <c r="B136" s="195"/>
      <c r="C136" s="195"/>
      <c r="D136" s="195"/>
      <c r="E136" s="195"/>
      <c r="F136" s="477"/>
      <c r="G136" s="464"/>
      <c r="H136" s="464"/>
      <c r="I136" s="464"/>
      <c r="J136" s="464"/>
      <c r="K136" s="464"/>
      <c r="L136" s="480"/>
      <c r="M136" s="476"/>
      <c r="N136" s="464"/>
      <c r="O136" s="464"/>
      <c r="P136" s="464"/>
      <c r="Q136" s="464"/>
      <c r="R136" s="464"/>
      <c r="S136" s="464"/>
      <c r="T136" s="464"/>
      <c r="U136" s="464"/>
      <c r="V136" s="464"/>
      <c r="W136" s="464"/>
      <c r="X136" s="464"/>
      <c r="Y136" s="464"/>
      <c r="Z136" s="464"/>
      <c r="AA136" s="464"/>
      <c r="AB136" s="464"/>
      <c r="AC136" s="464"/>
      <c r="AD136" s="464"/>
      <c r="AE136" s="464"/>
      <c r="AF136" s="464"/>
      <c r="AG136" s="464"/>
      <c r="AH136" s="464"/>
      <c r="AI136" s="464"/>
      <c r="AJ136" s="464"/>
      <c r="AK136" s="464"/>
      <c r="AL136" s="464"/>
      <c r="AM136" s="464"/>
      <c r="AN136" s="464"/>
      <c r="AO136" s="464"/>
      <c r="AP136" s="464"/>
      <c r="AQ136" s="464"/>
      <c r="AR136" s="464"/>
      <c r="AS136" s="464"/>
      <c r="AT136" s="464"/>
      <c r="AU136" s="464"/>
      <c r="AV136" s="464"/>
      <c r="AW136" s="464"/>
      <c r="AX136" s="464"/>
      <c r="AY136" s="464"/>
      <c r="AZ136" s="464"/>
      <c r="BA136" s="464"/>
      <c r="BB136" s="464"/>
      <c r="BC136" s="464"/>
      <c r="BD136" s="464"/>
      <c r="BE136" s="464"/>
      <c r="BF136" s="464"/>
      <c r="BG136" s="464"/>
      <c r="BH136" s="464"/>
      <c r="BI136" s="464"/>
      <c r="BJ136" s="464"/>
      <c r="BK136" s="464"/>
      <c r="BL136" s="464"/>
      <c r="BM136" s="464"/>
      <c r="BN136" s="464"/>
      <c r="BO136" s="464"/>
      <c r="BP136" s="464"/>
      <c r="BQ136" s="464"/>
      <c r="BR136" s="464"/>
      <c r="BS136" s="493"/>
      <c r="BT136" s="195"/>
      <c r="BU136" s="195"/>
      <c r="BV136" s="195"/>
      <c r="BW136" s="195"/>
      <c r="BX136" s="195"/>
      <c r="BY136" s="195"/>
    </row>
    <row r="137" spans="2:77" ht="5.0999999999999996" customHeight="1" x14ac:dyDescent="0.2">
      <c r="B137" s="195"/>
      <c r="C137" s="195"/>
      <c r="D137" s="195"/>
      <c r="E137" s="195"/>
      <c r="F137" s="477"/>
      <c r="G137" s="464"/>
      <c r="H137" s="464"/>
      <c r="I137" s="464"/>
      <c r="J137" s="464"/>
      <c r="K137" s="464"/>
      <c r="L137" s="480"/>
      <c r="M137" s="476"/>
      <c r="N137" s="464"/>
      <c r="O137" s="464"/>
      <c r="P137" s="464"/>
      <c r="Q137" s="464"/>
      <c r="R137" s="464"/>
      <c r="S137" s="464"/>
      <c r="T137" s="464"/>
      <c r="U137" s="464"/>
      <c r="V137" s="464"/>
      <c r="W137" s="464"/>
      <c r="X137" s="464"/>
      <c r="Y137" s="464"/>
      <c r="Z137" s="464"/>
      <c r="AA137" s="464"/>
      <c r="AB137" s="464"/>
      <c r="AC137" s="464"/>
      <c r="AD137" s="464"/>
      <c r="AE137" s="464"/>
      <c r="AF137" s="464"/>
      <c r="AG137" s="464"/>
      <c r="AH137" s="464"/>
      <c r="AI137" s="464"/>
      <c r="AJ137" s="464"/>
      <c r="AK137" s="464"/>
      <c r="AL137" s="464"/>
      <c r="AM137" s="464"/>
      <c r="AN137" s="464"/>
      <c r="AO137" s="464"/>
      <c r="AP137" s="464"/>
      <c r="AQ137" s="464"/>
      <c r="AR137" s="464"/>
      <c r="AS137" s="464"/>
      <c r="AT137" s="464"/>
      <c r="AU137" s="464"/>
      <c r="AV137" s="464"/>
      <c r="AW137" s="464"/>
      <c r="AX137" s="464"/>
      <c r="AY137" s="464"/>
      <c r="AZ137" s="464"/>
      <c r="BA137" s="464"/>
      <c r="BB137" s="464"/>
      <c r="BC137" s="464"/>
      <c r="BD137" s="464"/>
      <c r="BE137" s="464"/>
      <c r="BF137" s="464"/>
      <c r="BG137" s="464"/>
      <c r="BH137" s="464"/>
      <c r="BI137" s="464"/>
      <c r="BJ137" s="464"/>
      <c r="BK137" s="464"/>
      <c r="BL137" s="464"/>
      <c r="BM137" s="464"/>
      <c r="BN137" s="464"/>
      <c r="BO137" s="464"/>
      <c r="BP137" s="464"/>
      <c r="BQ137" s="464"/>
      <c r="BR137" s="464"/>
      <c r="BS137" s="493"/>
      <c r="BT137" s="195"/>
      <c r="BU137" s="195"/>
      <c r="BV137" s="195"/>
      <c r="BW137" s="195"/>
      <c r="BX137" s="195"/>
      <c r="BY137" s="195"/>
    </row>
    <row r="138" spans="2:77" ht="11.25" customHeight="1" x14ac:dyDescent="0.2">
      <c r="B138" s="195"/>
      <c r="C138" s="195"/>
      <c r="D138" s="195"/>
      <c r="E138" s="195"/>
      <c r="F138" s="477"/>
      <c r="G138" s="464"/>
      <c r="H138" s="753" t="e">
        <f>IF(AND(Daten!E528=1,Daten!E523=1),"x","")</f>
        <v>#N/A</v>
      </c>
      <c r="I138" s="754"/>
      <c r="J138" s="755"/>
      <c r="K138" s="465"/>
      <c r="L138" s="465"/>
      <c r="M138" s="476"/>
      <c r="N138" s="466" t="s">
        <v>405</v>
      </c>
      <c r="O138" s="466"/>
      <c r="P138" s="466"/>
      <c r="Q138" s="466"/>
      <c r="R138" s="466"/>
      <c r="S138" s="466"/>
      <c r="T138" s="466"/>
      <c r="U138" s="466"/>
      <c r="V138" s="466"/>
      <c r="W138" s="466"/>
      <c r="X138" s="466"/>
      <c r="Y138" s="466"/>
      <c r="Z138" s="466"/>
      <c r="AA138" s="466"/>
      <c r="AB138" s="466"/>
      <c r="AC138" s="466"/>
      <c r="AD138" s="466"/>
      <c r="AE138" s="466"/>
      <c r="AF138" s="466"/>
      <c r="AG138" s="466"/>
      <c r="AH138" s="466"/>
      <c r="AI138" s="466"/>
      <c r="AJ138" s="466"/>
      <c r="AK138" s="466"/>
      <c r="AL138" s="466"/>
      <c r="AM138" s="466"/>
      <c r="AN138" s="466"/>
      <c r="AO138" s="466"/>
      <c r="AP138" s="466"/>
      <c r="AQ138" s="466"/>
      <c r="AR138" s="466"/>
      <c r="AS138" s="466"/>
      <c r="AT138" s="466"/>
      <c r="AU138" s="466"/>
      <c r="AV138" s="466"/>
      <c r="AW138" s="466"/>
      <c r="AX138" s="466"/>
      <c r="AY138" s="466"/>
      <c r="AZ138" s="466"/>
      <c r="BA138" s="466"/>
      <c r="BB138" s="466"/>
      <c r="BC138" s="466"/>
      <c r="BD138" s="466"/>
      <c r="BE138" s="466"/>
      <c r="BF138" s="466"/>
      <c r="BG138" s="466"/>
      <c r="BH138" s="466"/>
      <c r="BI138" s="466"/>
      <c r="BJ138" s="466"/>
      <c r="BK138" s="466"/>
      <c r="BL138" s="466"/>
      <c r="BM138" s="466"/>
      <c r="BN138" s="466"/>
      <c r="BO138" s="466"/>
      <c r="BP138" s="466"/>
      <c r="BQ138" s="466"/>
      <c r="BR138" s="466"/>
      <c r="BS138" s="467"/>
      <c r="BT138" s="195"/>
      <c r="BU138" s="195"/>
      <c r="BV138" s="195"/>
      <c r="BW138" s="195"/>
      <c r="BX138" s="195"/>
      <c r="BY138" s="195"/>
    </row>
    <row r="139" spans="2:77" ht="10.15" customHeight="1" x14ac:dyDescent="0.2">
      <c r="B139" s="195"/>
      <c r="C139" s="195"/>
      <c r="D139" s="195"/>
      <c r="E139" s="195"/>
      <c r="F139" s="463"/>
      <c r="G139" s="464"/>
      <c r="H139" s="464"/>
      <c r="I139" s="464"/>
      <c r="J139" s="464"/>
      <c r="K139" s="464"/>
      <c r="L139" s="464"/>
      <c r="M139" s="464"/>
      <c r="N139" s="494" t="s">
        <v>406</v>
      </c>
      <c r="O139" s="494"/>
      <c r="P139" s="494"/>
      <c r="Q139" s="494"/>
      <c r="R139" s="494"/>
      <c r="S139" s="494"/>
      <c r="T139" s="494"/>
      <c r="U139" s="494"/>
      <c r="V139" s="494"/>
      <c r="W139" s="494"/>
      <c r="X139" s="494"/>
      <c r="Y139" s="494"/>
      <c r="Z139" s="494"/>
      <c r="AA139" s="494"/>
      <c r="AB139" s="494"/>
      <c r="AC139" s="494"/>
      <c r="AD139" s="494"/>
      <c r="AE139" s="494"/>
      <c r="AF139" s="494"/>
      <c r="AG139" s="494"/>
      <c r="AH139" s="494"/>
      <c r="AI139" s="494"/>
      <c r="AJ139" s="494"/>
      <c r="AK139" s="494"/>
      <c r="AL139" s="494"/>
      <c r="AM139" s="494"/>
      <c r="AN139" s="494"/>
      <c r="AO139" s="494"/>
      <c r="AP139" s="494"/>
      <c r="AQ139" s="466"/>
      <c r="AR139" s="466"/>
      <c r="AS139" s="466"/>
      <c r="AT139" s="466"/>
      <c r="AU139" s="466"/>
      <c r="AV139" s="466"/>
      <c r="AW139" s="466"/>
      <c r="AX139" s="466"/>
      <c r="AY139" s="466"/>
      <c r="AZ139" s="466"/>
      <c r="BA139" s="466"/>
      <c r="BB139" s="466"/>
      <c r="BC139" s="466"/>
      <c r="BD139" s="466"/>
      <c r="BE139" s="466"/>
      <c r="BF139" s="466"/>
      <c r="BG139" s="466"/>
      <c r="BH139" s="466"/>
      <c r="BI139" s="466"/>
      <c r="BJ139" s="466"/>
      <c r="BK139" s="466"/>
      <c r="BL139" s="466"/>
      <c r="BM139" s="466"/>
      <c r="BN139" s="466"/>
      <c r="BO139" s="466"/>
      <c r="BP139" s="466"/>
      <c r="BQ139" s="466"/>
      <c r="BR139" s="466"/>
      <c r="BS139" s="467"/>
      <c r="BT139" s="195"/>
      <c r="BU139" s="195"/>
      <c r="BV139" s="195"/>
      <c r="BW139" s="195"/>
      <c r="BX139" s="195"/>
      <c r="BY139" s="195"/>
    </row>
    <row r="140" spans="2:77" ht="3.2" customHeight="1" x14ac:dyDescent="0.2">
      <c r="B140" s="195"/>
      <c r="C140" s="195"/>
      <c r="D140" s="195"/>
      <c r="E140" s="195"/>
      <c r="F140" s="463"/>
      <c r="G140" s="464"/>
      <c r="H140" s="464"/>
      <c r="I140" s="464"/>
      <c r="J140" s="464"/>
      <c r="K140" s="464"/>
      <c r="L140" s="464"/>
      <c r="M140" s="464"/>
      <c r="N140" s="480"/>
      <c r="O140" s="480"/>
      <c r="P140" s="480"/>
      <c r="Q140" s="480"/>
      <c r="R140" s="480"/>
      <c r="S140" s="480"/>
      <c r="T140" s="480"/>
      <c r="U140" s="480"/>
      <c r="V140" s="480"/>
      <c r="W140" s="480"/>
      <c r="X140" s="480"/>
      <c r="Y140" s="480"/>
      <c r="Z140" s="480"/>
      <c r="AA140" s="480"/>
      <c r="AB140" s="480"/>
      <c r="AC140" s="480"/>
      <c r="AD140" s="480"/>
      <c r="AE140" s="480"/>
      <c r="AF140" s="480"/>
      <c r="AG140" s="480"/>
      <c r="AH140" s="480"/>
      <c r="AI140" s="480"/>
      <c r="AJ140" s="480"/>
      <c r="AK140" s="480"/>
      <c r="AL140" s="480"/>
      <c r="AM140" s="480"/>
      <c r="AN140" s="480"/>
      <c r="AO140" s="480"/>
      <c r="AP140" s="480"/>
      <c r="AQ140" s="480"/>
      <c r="AR140" s="480"/>
      <c r="AS140" s="480"/>
      <c r="AT140" s="480"/>
      <c r="AU140" s="480"/>
      <c r="AV140" s="480"/>
      <c r="AW140" s="480"/>
      <c r="AX140" s="480"/>
      <c r="AY140" s="480"/>
      <c r="AZ140" s="480"/>
      <c r="BA140" s="480"/>
      <c r="BB140" s="480"/>
      <c r="BC140" s="480"/>
      <c r="BD140" s="480"/>
      <c r="BE140" s="480"/>
      <c r="BF140" s="480"/>
      <c r="BG140" s="480"/>
      <c r="BH140" s="480"/>
      <c r="BI140" s="480"/>
      <c r="BJ140" s="480"/>
      <c r="BK140" s="480"/>
      <c r="BL140" s="480"/>
      <c r="BM140" s="480"/>
      <c r="BN140" s="480"/>
      <c r="BO140" s="480"/>
      <c r="BP140" s="480"/>
      <c r="BQ140" s="480"/>
      <c r="BR140" s="480"/>
      <c r="BS140" s="495"/>
      <c r="BT140" s="195"/>
      <c r="BU140" s="195"/>
      <c r="BV140" s="195"/>
      <c r="BW140" s="195"/>
      <c r="BX140" s="195"/>
      <c r="BY140" s="195"/>
    </row>
    <row r="141" spans="2:77" ht="10.15" customHeight="1" x14ac:dyDescent="0.2">
      <c r="B141" s="195"/>
      <c r="C141" s="195"/>
      <c r="D141" s="195"/>
      <c r="E141" s="195"/>
      <c r="F141" s="463"/>
      <c r="G141" s="464"/>
      <c r="H141" s="464"/>
      <c r="I141" s="464"/>
      <c r="J141" s="464"/>
      <c r="K141" s="464"/>
      <c r="L141" s="464"/>
      <c r="M141" s="464"/>
      <c r="N141" s="476" t="s">
        <v>893</v>
      </c>
      <c r="O141" s="480"/>
      <c r="P141" s="480"/>
      <c r="Q141" s="480"/>
      <c r="R141" s="480"/>
      <c r="S141" s="480"/>
      <c r="T141" s="480"/>
      <c r="U141" s="480"/>
      <c r="V141" s="480"/>
      <c r="W141" s="480"/>
      <c r="X141" s="480"/>
      <c r="Y141" s="480"/>
      <c r="Z141" s="480"/>
      <c r="AA141" s="480"/>
      <c r="AB141" s="480"/>
      <c r="AC141" s="480"/>
      <c r="AD141" s="480"/>
      <c r="AE141" s="480"/>
      <c r="AF141" s="480"/>
      <c r="AG141" s="480"/>
      <c r="AH141" s="480"/>
      <c r="AI141" s="480"/>
      <c r="AJ141" s="480"/>
      <c r="AK141" s="480"/>
      <c r="AL141" s="480"/>
      <c r="AM141" s="480"/>
      <c r="AN141" s="480"/>
      <c r="AO141" s="480"/>
      <c r="AP141" s="480"/>
      <c r="AQ141" s="480"/>
      <c r="AR141" s="480"/>
      <c r="AS141" s="480"/>
      <c r="AT141" s="480"/>
      <c r="AU141" s="480"/>
      <c r="AV141" s="480"/>
      <c r="AW141" s="480"/>
      <c r="AX141" s="480"/>
      <c r="AY141" s="480"/>
      <c r="AZ141" s="480"/>
      <c r="BA141" s="480"/>
      <c r="BB141" s="480"/>
      <c r="BC141" s="480"/>
      <c r="BD141" s="480"/>
      <c r="BE141" s="480"/>
      <c r="BF141" s="480"/>
      <c r="BG141" s="480"/>
      <c r="BH141" s="480"/>
      <c r="BI141" s="480"/>
      <c r="BJ141" s="480"/>
      <c r="BK141" s="480"/>
      <c r="BL141" s="480"/>
      <c r="BM141" s="480"/>
      <c r="BN141" s="480"/>
      <c r="BO141" s="480"/>
      <c r="BP141" s="480"/>
      <c r="BQ141" s="480"/>
      <c r="BR141" s="480"/>
      <c r="BS141" s="495"/>
      <c r="BT141" s="195"/>
      <c r="BU141" s="195"/>
      <c r="BV141" s="195"/>
      <c r="BW141" s="195"/>
      <c r="BX141" s="195"/>
      <c r="BY141" s="195"/>
    </row>
    <row r="142" spans="2:77" ht="10.15" customHeight="1" x14ac:dyDescent="0.2">
      <c r="B142" s="195"/>
      <c r="C142" s="195"/>
      <c r="D142" s="195"/>
      <c r="E142" s="195"/>
      <c r="F142" s="463"/>
      <c r="G142" s="464"/>
      <c r="H142" s="464"/>
      <c r="I142" s="464"/>
      <c r="J142" s="464"/>
      <c r="K142" s="464"/>
      <c r="L142" s="464"/>
      <c r="M142" s="464"/>
      <c r="N142" s="476" t="s">
        <v>896</v>
      </c>
      <c r="O142" s="480"/>
      <c r="P142" s="480"/>
      <c r="Q142" s="480"/>
      <c r="R142" s="480"/>
      <c r="S142" s="480"/>
      <c r="T142" s="480"/>
      <c r="U142" s="480"/>
      <c r="V142" s="480"/>
      <c r="W142" s="480"/>
      <c r="X142" s="480"/>
      <c r="Y142" s="480"/>
      <c r="Z142" s="480"/>
      <c r="AA142" s="480"/>
      <c r="AB142" s="480"/>
      <c r="AC142" s="480"/>
      <c r="AD142" s="480"/>
      <c r="AE142" s="480"/>
      <c r="AF142" s="480"/>
      <c r="AG142" s="480"/>
      <c r="AH142" s="480"/>
      <c r="AI142" s="480"/>
      <c r="AJ142" s="480"/>
      <c r="AK142" s="480"/>
      <c r="AL142" s="480"/>
      <c r="AM142" s="480"/>
      <c r="AN142" s="480"/>
      <c r="AO142" s="480"/>
      <c r="AP142" s="480"/>
      <c r="AQ142" s="480"/>
      <c r="AR142" s="480"/>
      <c r="AS142" s="480"/>
      <c r="AT142" s="480"/>
      <c r="AU142" s="480"/>
      <c r="AV142" s="480"/>
      <c r="AW142" s="480"/>
      <c r="AX142" s="480"/>
      <c r="AY142" s="480"/>
      <c r="AZ142" s="480"/>
      <c r="BA142" s="480"/>
      <c r="BB142" s="480"/>
      <c r="BC142" s="480"/>
      <c r="BD142" s="480"/>
      <c r="BE142" s="480"/>
      <c r="BF142" s="480"/>
      <c r="BG142" s="480"/>
      <c r="BH142" s="480"/>
      <c r="BI142" s="480"/>
      <c r="BJ142" s="480"/>
      <c r="BK142" s="480"/>
      <c r="BL142" s="480"/>
      <c r="BM142" s="480"/>
      <c r="BN142" s="480"/>
      <c r="BO142" s="480"/>
      <c r="BP142" s="480"/>
      <c r="BQ142" s="480"/>
      <c r="BR142" s="480"/>
      <c r="BS142" s="495"/>
      <c r="BT142" s="195"/>
      <c r="BU142" s="195"/>
      <c r="BV142" s="195"/>
      <c r="BW142" s="195"/>
      <c r="BX142" s="195"/>
      <c r="BY142" s="195"/>
    </row>
    <row r="143" spans="2:77" ht="5.0999999999999996" customHeight="1" x14ac:dyDescent="0.2">
      <c r="B143" s="195"/>
      <c r="C143" s="195"/>
      <c r="D143" s="195"/>
      <c r="E143" s="195"/>
      <c r="F143" s="463"/>
      <c r="G143" s="464"/>
      <c r="H143" s="464"/>
      <c r="I143" s="464"/>
      <c r="J143" s="464"/>
      <c r="K143" s="464"/>
      <c r="L143" s="464"/>
      <c r="M143" s="464"/>
      <c r="N143" s="480"/>
      <c r="O143" s="480"/>
      <c r="P143" s="480"/>
      <c r="Q143" s="480"/>
      <c r="R143" s="480"/>
      <c r="S143" s="480"/>
      <c r="T143" s="480"/>
      <c r="U143" s="480"/>
      <c r="V143" s="480"/>
      <c r="W143" s="480"/>
      <c r="X143" s="480"/>
      <c r="Y143" s="480"/>
      <c r="Z143" s="480"/>
      <c r="AA143" s="480"/>
      <c r="AB143" s="480"/>
      <c r="AC143" s="480"/>
      <c r="AD143" s="480"/>
      <c r="AE143" s="480"/>
      <c r="AF143" s="480"/>
      <c r="AG143" s="480"/>
      <c r="AH143" s="480"/>
      <c r="AI143" s="480"/>
      <c r="AJ143" s="480"/>
      <c r="AK143" s="480"/>
      <c r="AL143" s="480"/>
      <c r="AM143" s="480"/>
      <c r="AN143" s="480"/>
      <c r="AO143" s="480"/>
      <c r="AP143" s="480"/>
      <c r="AQ143" s="480"/>
      <c r="AR143" s="480"/>
      <c r="AS143" s="480"/>
      <c r="AT143" s="480"/>
      <c r="AU143" s="480"/>
      <c r="AV143" s="480"/>
      <c r="AW143" s="480"/>
      <c r="AX143" s="480"/>
      <c r="AY143" s="480"/>
      <c r="AZ143" s="480"/>
      <c r="BA143" s="480"/>
      <c r="BB143" s="480"/>
      <c r="BC143" s="480"/>
      <c r="BD143" s="480"/>
      <c r="BE143" s="480"/>
      <c r="BF143" s="480"/>
      <c r="BG143" s="480"/>
      <c r="BH143" s="480"/>
      <c r="BI143" s="480"/>
      <c r="BJ143" s="480"/>
      <c r="BK143" s="480"/>
      <c r="BL143" s="480"/>
      <c r="BM143" s="480"/>
      <c r="BN143" s="480"/>
      <c r="BO143" s="480"/>
      <c r="BP143" s="480"/>
      <c r="BQ143" s="480"/>
      <c r="BR143" s="480"/>
      <c r="BS143" s="495"/>
      <c r="BT143" s="195"/>
      <c r="BU143" s="195"/>
      <c r="BV143" s="195"/>
      <c r="BW143" s="195"/>
      <c r="BX143" s="195"/>
      <c r="BY143" s="195"/>
    </row>
    <row r="144" spans="2:77" ht="13.7" customHeight="1" x14ac:dyDescent="0.2">
      <c r="B144" s="195"/>
      <c r="C144" s="195"/>
      <c r="D144" s="195"/>
      <c r="E144" s="195"/>
      <c r="F144" s="463"/>
      <c r="G144" s="464"/>
      <c r="H144" s="464"/>
      <c r="I144" s="464"/>
      <c r="J144" s="464"/>
      <c r="K144" s="464"/>
      <c r="L144" s="464"/>
      <c r="M144" s="439"/>
      <c r="N144" s="440" t="s">
        <v>1117</v>
      </c>
      <c r="O144" s="441"/>
      <c r="P144" s="441"/>
      <c r="Q144" s="441"/>
      <c r="R144" s="441"/>
      <c r="S144" s="441"/>
      <c r="T144" s="441"/>
      <c r="U144" s="441"/>
      <c r="V144" s="441"/>
      <c r="W144" s="441"/>
      <c r="X144" s="441"/>
      <c r="Y144" s="441"/>
      <c r="Z144" s="441"/>
      <c r="AA144" s="441"/>
      <c r="AB144" s="441"/>
      <c r="AC144" s="441"/>
      <c r="AD144" s="441"/>
      <c r="AE144" s="441"/>
      <c r="AF144" s="441"/>
      <c r="AG144" s="441"/>
      <c r="AH144" s="441"/>
      <c r="AI144" s="441"/>
      <c r="AJ144" s="441"/>
      <c r="AK144" s="441"/>
      <c r="AL144" s="441"/>
      <c r="AM144" s="441"/>
      <c r="AN144" s="441"/>
      <c r="AO144" s="441"/>
      <c r="AP144" s="441"/>
      <c r="AQ144" s="441"/>
      <c r="AR144" s="441"/>
      <c r="AS144" s="441"/>
      <c r="AT144" s="441"/>
      <c r="AU144" s="441"/>
      <c r="AV144" s="441"/>
      <c r="AW144" s="441"/>
      <c r="AX144" s="441"/>
      <c r="AY144" s="441"/>
      <c r="AZ144" s="441"/>
      <c r="BA144" s="441"/>
      <c r="BB144" s="441"/>
      <c r="BC144" s="441"/>
      <c r="BD144" s="441"/>
      <c r="BE144" s="441"/>
      <c r="BF144" s="441"/>
      <c r="BG144" s="441"/>
      <c r="BH144" s="441"/>
      <c r="BI144" s="441"/>
      <c r="BJ144" s="441"/>
      <c r="BK144" s="441"/>
      <c r="BL144" s="441"/>
      <c r="BM144" s="441"/>
      <c r="BN144" s="441"/>
      <c r="BO144" s="441"/>
      <c r="BP144" s="480"/>
      <c r="BQ144" s="480"/>
      <c r="BR144" s="480"/>
      <c r="BS144" s="495"/>
      <c r="BT144" s="195"/>
      <c r="BU144" s="195"/>
      <c r="BV144" s="195"/>
      <c r="BW144" s="195"/>
      <c r="BX144" s="195"/>
      <c r="BY144" s="195"/>
    </row>
    <row r="145" spans="2:77" ht="6.95" customHeight="1" x14ac:dyDescent="0.2">
      <c r="B145" s="195"/>
      <c r="C145" s="195"/>
      <c r="D145" s="195"/>
      <c r="E145" s="195"/>
      <c r="F145" s="463"/>
      <c r="G145" s="464"/>
      <c r="H145" s="464"/>
      <c r="I145" s="464"/>
      <c r="J145" s="464"/>
      <c r="K145" s="464"/>
      <c r="L145" s="464"/>
      <c r="M145" s="439"/>
      <c r="N145" s="441"/>
      <c r="O145" s="441"/>
      <c r="P145" s="441"/>
      <c r="Q145" s="441"/>
      <c r="R145" s="441"/>
      <c r="S145" s="441"/>
      <c r="T145" s="441"/>
      <c r="U145" s="441"/>
      <c r="V145" s="441"/>
      <c r="W145" s="441"/>
      <c r="X145" s="441"/>
      <c r="Y145" s="441"/>
      <c r="Z145" s="441"/>
      <c r="AA145" s="441"/>
      <c r="AB145" s="441"/>
      <c r="AC145" s="441"/>
      <c r="AD145" s="441"/>
      <c r="AE145" s="441"/>
      <c r="AF145" s="441"/>
      <c r="AG145" s="441"/>
      <c r="AH145" s="441"/>
      <c r="AI145" s="441"/>
      <c r="AJ145" s="441"/>
      <c r="AK145" s="441"/>
      <c r="AL145" s="441"/>
      <c r="AM145" s="441"/>
      <c r="AN145" s="441"/>
      <c r="AO145" s="441"/>
      <c r="AP145" s="441"/>
      <c r="AQ145" s="441"/>
      <c r="AR145" s="441"/>
      <c r="AS145" s="441"/>
      <c r="AT145" s="441"/>
      <c r="AU145" s="441"/>
      <c r="AV145" s="441"/>
      <c r="AW145" s="441"/>
      <c r="AX145" s="441"/>
      <c r="AY145" s="441"/>
      <c r="AZ145" s="441"/>
      <c r="BA145" s="441"/>
      <c r="BB145" s="441"/>
      <c r="BC145" s="441"/>
      <c r="BD145" s="441"/>
      <c r="BE145" s="441"/>
      <c r="BF145" s="441"/>
      <c r="BG145" s="441"/>
      <c r="BH145" s="441"/>
      <c r="BI145" s="441"/>
      <c r="BJ145" s="441"/>
      <c r="BK145" s="441"/>
      <c r="BL145" s="441"/>
      <c r="BM145" s="441"/>
      <c r="BN145" s="441"/>
      <c r="BO145" s="441"/>
      <c r="BP145" s="480"/>
      <c r="BQ145" s="480"/>
      <c r="BR145" s="480"/>
      <c r="BS145" s="495"/>
      <c r="BT145" s="195"/>
      <c r="BU145" s="195"/>
      <c r="BV145" s="195"/>
      <c r="BW145" s="195"/>
      <c r="BX145" s="195"/>
      <c r="BY145" s="195"/>
    </row>
    <row r="146" spans="2:77" ht="10.15" customHeight="1" x14ac:dyDescent="0.2">
      <c r="B146" s="195"/>
      <c r="C146" s="195"/>
      <c r="D146" s="195"/>
      <c r="E146" s="195"/>
      <c r="F146" s="463"/>
      <c r="G146" s="464"/>
      <c r="H146" s="464"/>
      <c r="I146" s="464"/>
      <c r="J146" s="464"/>
      <c r="K146" s="464"/>
      <c r="L146" s="464"/>
      <c r="M146" s="439"/>
      <c r="N146" s="442" t="s">
        <v>892</v>
      </c>
      <c r="O146" s="441"/>
      <c r="P146" s="441"/>
      <c r="Q146" s="441"/>
      <c r="R146" s="441"/>
      <c r="S146" s="441"/>
      <c r="T146" s="441"/>
      <c r="U146" s="441"/>
      <c r="V146" s="441"/>
      <c r="W146" s="441"/>
      <c r="X146" s="441"/>
      <c r="Y146" s="441"/>
      <c r="Z146" s="441"/>
      <c r="AA146" s="441"/>
      <c r="AB146" s="441"/>
      <c r="AC146" s="441"/>
      <c r="AD146" s="441"/>
      <c r="AE146" s="441"/>
      <c r="AF146" s="441"/>
      <c r="AG146" s="441"/>
      <c r="AH146" s="441"/>
      <c r="AI146" s="441"/>
      <c r="AJ146" s="441"/>
      <c r="AK146" s="441"/>
      <c r="AL146" s="441"/>
      <c r="AM146" s="441"/>
      <c r="AN146" s="441"/>
      <c r="AO146" s="441"/>
      <c r="AP146" s="441"/>
      <c r="AQ146" s="441"/>
      <c r="AR146" s="441"/>
      <c r="AS146" s="441"/>
      <c r="AT146" s="441"/>
      <c r="AU146" s="441"/>
      <c r="AV146" s="441"/>
      <c r="AW146" s="441"/>
      <c r="AX146" s="441"/>
      <c r="AY146" s="441"/>
      <c r="AZ146" s="441"/>
      <c r="BA146" s="441"/>
      <c r="BB146" s="751" t="e">
        <f>Daten!E511</f>
        <v>#N/A</v>
      </c>
      <c r="BC146" s="752"/>
      <c r="BD146" s="752"/>
      <c r="BE146" s="752"/>
      <c r="BF146" s="752"/>
      <c r="BG146" s="752"/>
      <c r="BH146" s="752"/>
      <c r="BI146" s="752"/>
      <c r="BJ146" s="752"/>
      <c r="BK146" s="752"/>
      <c r="BL146" s="752"/>
      <c r="BM146" s="441"/>
      <c r="BN146" s="442" t="s">
        <v>853</v>
      </c>
      <c r="BO146" s="441"/>
      <c r="BP146" s="480"/>
      <c r="BQ146" s="480"/>
      <c r="BR146" s="480"/>
      <c r="BS146" s="495"/>
      <c r="BT146" s="195"/>
      <c r="BU146" s="195"/>
      <c r="BV146" s="195"/>
      <c r="BW146" s="195"/>
      <c r="BX146" s="195"/>
      <c r="BY146" s="195"/>
    </row>
    <row r="147" spans="2:77" ht="10.15" customHeight="1" x14ac:dyDescent="0.2">
      <c r="B147" s="195"/>
      <c r="C147" s="195"/>
      <c r="D147" s="195"/>
      <c r="E147" s="195"/>
      <c r="F147" s="463"/>
      <c r="G147" s="464"/>
      <c r="H147" s="464"/>
      <c r="I147" s="464"/>
      <c r="J147" s="464"/>
      <c r="K147" s="464"/>
      <c r="L147" s="464"/>
      <c r="M147" s="439"/>
      <c r="N147" s="290" t="str">
        <f>IF(Daten!D362=1,Daten!G506&amp;""&amp;TEXT(Daten!E512,"0,00")&amp;" "&amp;Daten!G507&amp;" "&amp;TEXT(Daten!E513,"0,00")&amp;" "&amp;Daten!G511,"")</f>
        <v/>
      </c>
      <c r="O147" s="441"/>
      <c r="P147" s="441"/>
      <c r="Q147" s="441"/>
      <c r="R147" s="441"/>
      <c r="S147" s="441"/>
      <c r="T147" s="441"/>
      <c r="U147" s="441"/>
      <c r="V147" s="441"/>
      <c r="W147" s="441"/>
      <c r="X147" s="441"/>
      <c r="Y147" s="441"/>
      <c r="Z147" s="441"/>
      <c r="AA147" s="441"/>
      <c r="AB147" s="441"/>
      <c r="AC147" s="441"/>
      <c r="AD147" s="441"/>
      <c r="AE147" s="441"/>
      <c r="AF147" s="441"/>
      <c r="AG147" s="441"/>
      <c r="AH147" s="441"/>
      <c r="AI147" s="441"/>
      <c r="AJ147" s="441"/>
      <c r="AK147" s="441"/>
      <c r="AL147" s="441"/>
      <c r="AM147" s="441"/>
      <c r="AN147" s="441"/>
      <c r="AO147" s="441"/>
      <c r="AP147" s="441"/>
      <c r="AQ147" s="441"/>
      <c r="AR147" s="441"/>
      <c r="AS147" s="441"/>
      <c r="AT147" s="441"/>
      <c r="AU147" s="441"/>
      <c r="AV147" s="441"/>
      <c r="AW147" s="441"/>
      <c r="AX147" s="441"/>
      <c r="AY147" s="441"/>
      <c r="AZ147" s="441"/>
      <c r="BA147" s="441"/>
      <c r="BB147" s="441"/>
      <c r="BC147" s="441"/>
      <c r="BD147" s="441"/>
      <c r="BE147" s="441"/>
      <c r="BF147" s="441"/>
      <c r="BG147" s="441"/>
      <c r="BH147" s="441"/>
      <c r="BI147" s="441"/>
      <c r="BJ147" s="441"/>
      <c r="BK147" s="441"/>
      <c r="BL147" s="441"/>
      <c r="BM147" s="441"/>
      <c r="BN147" s="441"/>
      <c r="BO147" s="441"/>
      <c r="BP147" s="480"/>
      <c r="BQ147" s="480"/>
      <c r="BR147" s="480"/>
      <c r="BS147" s="495"/>
      <c r="BT147" s="195"/>
      <c r="BU147" s="195"/>
      <c r="BV147" s="195"/>
      <c r="BW147" s="195"/>
      <c r="BX147" s="195"/>
      <c r="BY147" s="195"/>
    </row>
    <row r="148" spans="2:77" ht="6.95" customHeight="1" x14ac:dyDescent="0.2">
      <c r="B148" s="195"/>
      <c r="C148" s="195"/>
      <c r="D148" s="195"/>
      <c r="E148" s="195"/>
      <c r="F148" s="463"/>
      <c r="G148" s="464"/>
      <c r="H148" s="464"/>
      <c r="I148" s="464"/>
      <c r="J148" s="464"/>
      <c r="K148" s="464"/>
      <c r="L148" s="464"/>
      <c r="M148" s="439"/>
      <c r="N148" s="441"/>
      <c r="O148" s="441"/>
      <c r="P148" s="441"/>
      <c r="Q148" s="441"/>
      <c r="R148" s="441"/>
      <c r="S148" s="441"/>
      <c r="T148" s="441"/>
      <c r="U148" s="441"/>
      <c r="V148" s="441"/>
      <c r="W148" s="441"/>
      <c r="X148" s="441"/>
      <c r="Y148" s="441"/>
      <c r="Z148" s="441"/>
      <c r="AA148" s="441"/>
      <c r="AB148" s="441"/>
      <c r="AC148" s="441"/>
      <c r="AD148" s="441"/>
      <c r="AE148" s="441"/>
      <c r="AF148" s="441"/>
      <c r="AG148" s="441"/>
      <c r="AH148" s="441"/>
      <c r="AI148" s="441"/>
      <c r="AJ148" s="441"/>
      <c r="AK148" s="441"/>
      <c r="AL148" s="441"/>
      <c r="AM148" s="441"/>
      <c r="AN148" s="441"/>
      <c r="AO148" s="441"/>
      <c r="AP148" s="441"/>
      <c r="AQ148" s="441"/>
      <c r="AR148" s="441"/>
      <c r="AS148" s="441"/>
      <c r="AT148" s="441"/>
      <c r="AU148" s="441"/>
      <c r="AV148" s="441"/>
      <c r="AW148" s="441"/>
      <c r="AX148" s="441"/>
      <c r="AY148" s="441"/>
      <c r="AZ148" s="441"/>
      <c r="BA148" s="441"/>
      <c r="BB148" s="441"/>
      <c r="BC148" s="441"/>
      <c r="BD148" s="441"/>
      <c r="BE148" s="441"/>
      <c r="BF148" s="441"/>
      <c r="BG148" s="441"/>
      <c r="BH148" s="441"/>
      <c r="BI148" s="441"/>
      <c r="BJ148" s="441"/>
      <c r="BK148" s="441"/>
      <c r="BL148" s="441"/>
      <c r="BM148" s="441"/>
      <c r="BN148" s="441"/>
      <c r="BO148" s="441"/>
      <c r="BP148" s="480"/>
      <c r="BQ148" s="480"/>
      <c r="BR148" s="480"/>
      <c r="BS148" s="495"/>
      <c r="BT148" s="195"/>
      <c r="BU148" s="195"/>
      <c r="BV148" s="195"/>
      <c r="BW148" s="195"/>
      <c r="BX148" s="195"/>
      <c r="BY148" s="195"/>
    </row>
    <row r="149" spans="2:77" ht="11.25" customHeight="1" x14ac:dyDescent="0.2">
      <c r="B149" s="195"/>
      <c r="C149" s="195"/>
      <c r="D149" s="195"/>
      <c r="E149" s="195"/>
      <c r="F149" s="463"/>
      <c r="G149" s="464"/>
      <c r="H149" s="464"/>
      <c r="I149" s="464"/>
      <c r="J149" s="464"/>
      <c r="K149" s="464"/>
      <c r="L149" s="464"/>
      <c r="M149" s="439"/>
      <c r="N149" s="442" t="s">
        <v>878</v>
      </c>
      <c r="O149" s="441"/>
      <c r="P149" s="441"/>
      <c r="Q149" s="441"/>
      <c r="R149" s="441"/>
      <c r="S149" s="441"/>
      <c r="T149" s="441"/>
      <c r="U149" s="441"/>
      <c r="V149" s="441"/>
      <c r="W149" s="441"/>
      <c r="X149" s="441"/>
      <c r="Y149" s="441"/>
      <c r="Z149" s="441"/>
      <c r="AA149" s="441"/>
      <c r="AB149" s="441"/>
      <c r="AC149" s="441"/>
      <c r="AD149" s="441"/>
      <c r="AE149" s="441"/>
      <c r="AF149" s="441"/>
      <c r="AG149" s="441"/>
      <c r="AH149" s="441"/>
      <c r="AI149" s="441"/>
      <c r="AJ149" s="441"/>
      <c r="AK149" s="441"/>
      <c r="AL149" s="441"/>
      <c r="AM149" s="441"/>
      <c r="AN149" s="441"/>
      <c r="AO149" s="441"/>
      <c r="AP149" s="441"/>
      <c r="AQ149" s="441"/>
      <c r="AR149" s="441"/>
      <c r="AS149" s="441"/>
      <c r="AT149" s="441"/>
      <c r="AU149" s="441"/>
      <c r="AV149" s="441"/>
      <c r="AW149" s="441"/>
      <c r="AX149" s="441"/>
      <c r="AY149" s="441"/>
      <c r="AZ149" s="441"/>
      <c r="BA149" s="441"/>
      <c r="BB149" s="751">
        <f>Daten!E504</f>
        <v>0</v>
      </c>
      <c r="BC149" s="752"/>
      <c r="BD149" s="752"/>
      <c r="BE149" s="752"/>
      <c r="BF149" s="752"/>
      <c r="BG149" s="752"/>
      <c r="BH149" s="752"/>
      <c r="BI149" s="752"/>
      <c r="BJ149" s="752"/>
      <c r="BK149" s="752"/>
      <c r="BL149" s="752"/>
      <c r="BM149" s="441"/>
      <c r="BN149" s="442" t="s">
        <v>853</v>
      </c>
      <c r="BO149" s="441"/>
      <c r="BP149" s="480"/>
      <c r="BQ149" s="480"/>
      <c r="BR149" s="480"/>
      <c r="BS149" s="495"/>
      <c r="BT149" s="195"/>
      <c r="BU149" s="195"/>
      <c r="BV149" s="195"/>
      <c r="BW149" s="195"/>
      <c r="BX149" s="195"/>
      <c r="BY149" s="195"/>
    </row>
    <row r="150" spans="2:77" ht="5.0999999999999996" customHeight="1" x14ac:dyDescent="0.2">
      <c r="B150" s="195"/>
      <c r="C150" s="195"/>
      <c r="D150" s="195"/>
      <c r="E150" s="195"/>
      <c r="F150" s="463"/>
      <c r="G150" s="464"/>
      <c r="H150" s="464"/>
      <c r="I150" s="464"/>
      <c r="J150" s="464"/>
      <c r="K150" s="464"/>
      <c r="L150" s="464"/>
      <c r="M150" s="439"/>
      <c r="N150" s="441"/>
      <c r="O150" s="441"/>
      <c r="P150" s="441"/>
      <c r="Q150" s="441"/>
      <c r="R150" s="441"/>
      <c r="S150" s="441"/>
      <c r="T150" s="441"/>
      <c r="U150" s="441"/>
      <c r="V150" s="441"/>
      <c r="W150" s="441"/>
      <c r="X150" s="441"/>
      <c r="Y150" s="441"/>
      <c r="Z150" s="441"/>
      <c r="AA150" s="441"/>
      <c r="AB150" s="441"/>
      <c r="AC150" s="441"/>
      <c r="AD150" s="441"/>
      <c r="AE150" s="441"/>
      <c r="AF150" s="441"/>
      <c r="AG150" s="441"/>
      <c r="AH150" s="441"/>
      <c r="AI150" s="441"/>
      <c r="AJ150" s="441"/>
      <c r="AK150" s="441"/>
      <c r="AL150" s="441"/>
      <c r="AM150" s="441"/>
      <c r="AN150" s="441"/>
      <c r="AO150" s="441"/>
      <c r="AP150" s="441"/>
      <c r="AQ150" s="441"/>
      <c r="AR150" s="441"/>
      <c r="AS150" s="441"/>
      <c r="AT150" s="441"/>
      <c r="AU150" s="441"/>
      <c r="AV150" s="441"/>
      <c r="AW150" s="441"/>
      <c r="AX150" s="441"/>
      <c r="AY150" s="441"/>
      <c r="AZ150" s="441"/>
      <c r="BA150" s="441"/>
      <c r="BB150" s="441"/>
      <c r="BC150" s="441"/>
      <c r="BD150" s="441"/>
      <c r="BE150" s="441"/>
      <c r="BF150" s="441"/>
      <c r="BG150" s="441"/>
      <c r="BH150" s="441"/>
      <c r="BI150" s="441"/>
      <c r="BJ150" s="441"/>
      <c r="BK150" s="441"/>
      <c r="BL150" s="441"/>
      <c r="BM150" s="441"/>
      <c r="BN150" s="441"/>
      <c r="BO150" s="441"/>
      <c r="BP150" s="480"/>
      <c r="BQ150" s="480"/>
      <c r="BR150" s="480"/>
      <c r="BS150" s="495"/>
      <c r="BT150" s="195"/>
      <c r="BU150" s="195"/>
      <c r="BV150" s="195"/>
      <c r="BW150" s="195"/>
      <c r="BX150" s="195"/>
      <c r="BY150" s="195"/>
    </row>
    <row r="151" spans="2:77" ht="5.0999999999999996" customHeight="1" x14ac:dyDescent="0.2">
      <c r="B151" s="195"/>
      <c r="C151" s="195"/>
      <c r="D151" s="195"/>
      <c r="E151" s="195"/>
      <c r="F151" s="469"/>
      <c r="G151" s="468"/>
      <c r="H151" s="468"/>
      <c r="I151" s="464"/>
      <c r="J151" s="464"/>
      <c r="K151" s="464"/>
      <c r="L151" s="464"/>
      <c r="M151" s="464"/>
      <c r="N151" s="471"/>
      <c r="O151" s="471"/>
      <c r="P151" s="471"/>
      <c r="Q151" s="471"/>
      <c r="R151" s="471"/>
      <c r="S151" s="471"/>
      <c r="T151" s="471"/>
      <c r="U151" s="471"/>
      <c r="V151" s="471"/>
      <c r="W151" s="473"/>
      <c r="X151" s="473"/>
      <c r="Y151" s="473"/>
      <c r="Z151" s="473"/>
      <c r="AA151" s="473"/>
      <c r="AB151" s="473"/>
      <c r="AC151" s="473"/>
      <c r="AD151" s="473"/>
      <c r="AE151" s="473"/>
      <c r="AF151" s="473"/>
      <c r="AG151" s="473"/>
      <c r="AH151" s="473"/>
      <c r="AI151" s="473"/>
      <c r="AJ151" s="473"/>
      <c r="AK151" s="473"/>
      <c r="AL151" s="473"/>
      <c r="AM151" s="473"/>
      <c r="AN151" s="473"/>
      <c r="AO151" s="473"/>
      <c r="AP151" s="473"/>
      <c r="AQ151" s="473"/>
      <c r="AR151" s="473"/>
      <c r="AS151" s="473"/>
      <c r="AT151" s="473"/>
      <c r="AU151" s="473"/>
      <c r="AV151" s="473"/>
      <c r="AW151" s="473"/>
      <c r="AX151" s="473"/>
      <c r="AY151" s="473"/>
      <c r="AZ151" s="473"/>
      <c r="BA151" s="473"/>
      <c r="BB151" s="473"/>
      <c r="BC151" s="473"/>
      <c r="BD151" s="473"/>
      <c r="BE151" s="473"/>
      <c r="BF151" s="473"/>
      <c r="BG151" s="473"/>
      <c r="BH151" s="473"/>
      <c r="BI151" s="473"/>
      <c r="BJ151" s="473"/>
      <c r="BK151" s="473"/>
      <c r="BL151" s="473"/>
      <c r="BM151" s="473"/>
      <c r="BN151" s="473"/>
      <c r="BO151" s="473"/>
      <c r="BP151" s="473"/>
      <c r="BQ151" s="473"/>
      <c r="BR151" s="473"/>
      <c r="BS151" s="474"/>
      <c r="BT151" s="195"/>
      <c r="BU151" s="195"/>
      <c r="BV151" s="195"/>
      <c r="BW151" s="195"/>
      <c r="BX151" s="195"/>
      <c r="BY151" s="195"/>
    </row>
    <row r="152" spans="2:77" ht="1.1499999999999999" customHeight="1" x14ac:dyDescent="0.2">
      <c r="B152" s="195"/>
      <c r="C152" s="195"/>
      <c r="D152" s="195"/>
      <c r="E152" s="195"/>
      <c r="F152" s="477"/>
      <c r="G152" s="464"/>
      <c r="H152" s="464"/>
      <c r="I152" s="464"/>
      <c r="J152" s="464"/>
      <c r="K152" s="464"/>
      <c r="L152" s="480"/>
      <c r="M152" s="476"/>
      <c r="N152" s="464"/>
      <c r="O152" s="464"/>
      <c r="P152" s="464"/>
      <c r="Q152" s="464"/>
      <c r="R152" s="464"/>
      <c r="S152" s="464"/>
      <c r="T152" s="464"/>
      <c r="U152" s="464"/>
      <c r="V152" s="464"/>
      <c r="W152" s="464"/>
      <c r="X152" s="464"/>
      <c r="Y152" s="464"/>
      <c r="Z152" s="464"/>
      <c r="AA152" s="464"/>
      <c r="AB152" s="464"/>
      <c r="AC152" s="464"/>
      <c r="AD152" s="464"/>
      <c r="AE152" s="464"/>
      <c r="AF152" s="464"/>
      <c r="AG152" s="464"/>
      <c r="AH152" s="464"/>
      <c r="AI152" s="464"/>
      <c r="AJ152" s="464"/>
      <c r="AK152" s="464"/>
      <c r="AL152" s="464"/>
      <c r="AM152" s="464"/>
      <c r="AN152" s="464"/>
      <c r="AO152" s="464"/>
      <c r="AP152" s="464"/>
      <c r="AQ152" s="464"/>
      <c r="AR152" s="464"/>
      <c r="AS152" s="464"/>
      <c r="AT152" s="464"/>
      <c r="AU152" s="464"/>
      <c r="AV152" s="464"/>
      <c r="AW152" s="464"/>
      <c r="AX152" s="464"/>
      <c r="AY152" s="464"/>
      <c r="AZ152" s="464"/>
      <c r="BA152" s="464"/>
      <c r="BB152" s="464"/>
      <c r="BC152" s="464"/>
      <c r="BD152" s="464"/>
      <c r="BE152" s="464"/>
      <c r="BF152" s="464"/>
      <c r="BG152" s="464"/>
      <c r="BH152" s="464"/>
      <c r="BI152" s="464"/>
      <c r="BJ152" s="464"/>
      <c r="BK152" s="464"/>
      <c r="BL152" s="464"/>
      <c r="BM152" s="464"/>
      <c r="BN152" s="464"/>
      <c r="BO152" s="464"/>
      <c r="BP152" s="464"/>
      <c r="BQ152" s="464"/>
      <c r="BR152" s="464"/>
      <c r="BS152" s="493"/>
      <c r="BT152" s="195"/>
      <c r="BU152" s="195"/>
      <c r="BV152" s="195"/>
      <c r="BW152" s="195"/>
      <c r="BX152" s="195"/>
      <c r="BY152" s="195"/>
    </row>
    <row r="153" spans="2:77" ht="12.2" customHeight="1" x14ac:dyDescent="0.2">
      <c r="B153" s="195"/>
      <c r="C153" s="195"/>
      <c r="D153" s="195"/>
      <c r="E153" s="195"/>
      <c r="F153" s="477"/>
      <c r="G153" s="464"/>
      <c r="H153" s="753" t="e">
        <f>IF(AND(Daten!E528=1,Daten!E524=1),"x","")</f>
        <v>#N/A</v>
      </c>
      <c r="I153" s="754"/>
      <c r="J153" s="755"/>
      <c r="K153" s="465"/>
      <c r="L153" s="465"/>
      <c r="M153" s="476"/>
      <c r="N153" s="466" t="s">
        <v>405</v>
      </c>
      <c r="O153" s="466"/>
      <c r="P153" s="466"/>
      <c r="Q153" s="466"/>
      <c r="R153" s="466"/>
      <c r="S153" s="466"/>
      <c r="T153" s="466"/>
      <c r="U153" s="466"/>
      <c r="V153" s="466"/>
      <c r="W153" s="466"/>
      <c r="X153" s="466"/>
      <c r="Y153" s="466"/>
      <c r="Z153" s="466"/>
      <c r="AA153" s="466"/>
      <c r="AB153" s="466"/>
      <c r="AC153" s="466"/>
      <c r="AD153" s="466"/>
      <c r="AE153" s="466"/>
      <c r="AF153" s="466"/>
      <c r="AG153" s="466"/>
      <c r="AH153" s="466"/>
      <c r="AI153" s="466"/>
      <c r="AJ153" s="466"/>
      <c r="AK153" s="466"/>
      <c r="AL153" s="466"/>
      <c r="AM153" s="466"/>
      <c r="AN153" s="466"/>
      <c r="AO153" s="466"/>
      <c r="AP153" s="466"/>
      <c r="AQ153" s="466"/>
      <c r="AR153" s="466"/>
      <c r="AS153" s="466"/>
      <c r="AT153" s="466"/>
      <c r="AU153" s="466"/>
      <c r="AV153" s="466"/>
      <c r="AW153" s="466"/>
      <c r="AX153" s="466"/>
      <c r="AY153" s="466"/>
      <c r="AZ153" s="466"/>
      <c r="BA153" s="466"/>
      <c r="BB153" s="466"/>
      <c r="BC153" s="466"/>
      <c r="BD153" s="466"/>
      <c r="BE153" s="466"/>
      <c r="BF153" s="466"/>
      <c r="BG153" s="466"/>
      <c r="BH153" s="466"/>
      <c r="BI153" s="466"/>
      <c r="BJ153" s="466"/>
      <c r="BK153" s="466"/>
      <c r="BL153" s="466"/>
      <c r="BM153" s="466"/>
      <c r="BN153" s="466"/>
      <c r="BO153" s="466"/>
      <c r="BP153" s="466"/>
      <c r="BQ153" s="466"/>
      <c r="BR153" s="466"/>
      <c r="BS153" s="467"/>
      <c r="BT153" s="195"/>
      <c r="BU153" s="195"/>
      <c r="BV153" s="195"/>
      <c r="BW153" s="195"/>
      <c r="BX153" s="195"/>
      <c r="BY153" s="195"/>
    </row>
    <row r="154" spans="2:77" ht="10.15" customHeight="1" x14ac:dyDescent="0.2">
      <c r="B154" s="195"/>
      <c r="C154" s="195"/>
      <c r="D154" s="195"/>
      <c r="E154" s="195"/>
      <c r="F154" s="463"/>
      <c r="G154" s="464"/>
      <c r="H154" s="464"/>
      <c r="I154" s="464"/>
      <c r="J154" s="464"/>
      <c r="K154" s="464"/>
      <c r="L154" s="464"/>
      <c r="M154" s="464"/>
      <c r="N154" s="494" t="s">
        <v>407</v>
      </c>
      <c r="O154" s="466"/>
      <c r="P154" s="466"/>
      <c r="Q154" s="466"/>
      <c r="R154" s="466"/>
      <c r="S154" s="466"/>
      <c r="T154" s="466"/>
      <c r="U154" s="466"/>
      <c r="V154" s="466"/>
      <c r="W154" s="466"/>
      <c r="X154" s="466"/>
      <c r="Y154" s="466"/>
      <c r="Z154" s="466"/>
      <c r="AA154" s="466"/>
      <c r="AB154" s="466"/>
      <c r="AC154" s="466"/>
      <c r="AD154" s="466"/>
      <c r="AE154" s="466"/>
      <c r="AF154" s="466"/>
      <c r="AG154" s="466"/>
      <c r="AH154" s="466"/>
      <c r="AI154" s="466"/>
      <c r="AJ154" s="466"/>
      <c r="AK154" s="466"/>
      <c r="AL154" s="466"/>
      <c r="AM154" s="466"/>
      <c r="AN154" s="466"/>
      <c r="AO154" s="466"/>
      <c r="AP154" s="466"/>
      <c r="AQ154" s="466"/>
      <c r="AR154" s="466"/>
      <c r="AS154" s="466"/>
      <c r="AT154" s="466"/>
      <c r="AU154" s="466"/>
      <c r="AV154" s="466"/>
      <c r="AW154" s="466"/>
      <c r="AX154" s="466"/>
      <c r="AY154" s="466"/>
      <c r="AZ154" s="466"/>
      <c r="BA154" s="466"/>
      <c r="BB154" s="466"/>
      <c r="BC154" s="466"/>
      <c r="BD154" s="466"/>
      <c r="BE154" s="466"/>
      <c r="BF154" s="466"/>
      <c r="BG154" s="466"/>
      <c r="BH154" s="466"/>
      <c r="BI154" s="466"/>
      <c r="BJ154" s="466"/>
      <c r="BK154" s="466"/>
      <c r="BL154" s="466"/>
      <c r="BM154" s="466"/>
      <c r="BN154" s="466"/>
      <c r="BO154" s="466"/>
      <c r="BP154" s="466"/>
      <c r="BQ154" s="466"/>
      <c r="BR154" s="466"/>
      <c r="BS154" s="467"/>
      <c r="BT154" s="195"/>
      <c r="BU154" s="195"/>
      <c r="BV154" s="195"/>
      <c r="BW154" s="195"/>
      <c r="BX154" s="195"/>
      <c r="BY154" s="195"/>
    </row>
    <row r="155" spans="2:77" ht="8.4499999999999993" customHeight="1" x14ac:dyDescent="0.2">
      <c r="B155" s="195"/>
      <c r="C155" s="195"/>
      <c r="D155" s="195"/>
      <c r="E155" s="195"/>
      <c r="F155" s="463"/>
      <c r="G155" s="464"/>
      <c r="H155" s="464"/>
      <c r="I155" s="464"/>
      <c r="J155" s="464"/>
      <c r="K155" s="464"/>
      <c r="L155" s="464"/>
      <c r="M155" s="464"/>
      <c r="N155" s="480"/>
      <c r="O155" s="480"/>
      <c r="P155" s="480"/>
      <c r="Q155" s="480"/>
      <c r="R155" s="480"/>
      <c r="S155" s="480"/>
      <c r="T155" s="480"/>
      <c r="U155" s="480"/>
      <c r="V155" s="480"/>
      <c r="W155" s="480"/>
      <c r="X155" s="480"/>
      <c r="Y155" s="480"/>
      <c r="Z155" s="480"/>
      <c r="AA155" s="480"/>
      <c r="AB155" s="480"/>
      <c r="AC155" s="480"/>
      <c r="AD155" s="480"/>
      <c r="AE155" s="480"/>
      <c r="AF155" s="480"/>
      <c r="AG155" s="480"/>
      <c r="AH155" s="480"/>
      <c r="AI155" s="480"/>
      <c r="AJ155" s="480"/>
      <c r="AK155" s="480"/>
      <c r="AL155" s="480"/>
      <c r="AM155" s="480"/>
      <c r="AN155" s="480"/>
      <c r="AO155" s="480"/>
      <c r="AP155" s="480"/>
      <c r="AQ155" s="480"/>
      <c r="AR155" s="480"/>
      <c r="AS155" s="480"/>
      <c r="AT155" s="480"/>
      <c r="AU155" s="480"/>
      <c r="AV155" s="480"/>
      <c r="AW155" s="480"/>
      <c r="AX155" s="480"/>
      <c r="AY155" s="480"/>
      <c r="AZ155" s="480"/>
      <c r="BA155" s="480"/>
      <c r="BB155" s="480"/>
      <c r="BC155" s="480"/>
      <c r="BD155" s="480"/>
      <c r="BE155" s="480"/>
      <c r="BF155" s="480"/>
      <c r="BG155" s="480"/>
      <c r="BH155" s="480"/>
      <c r="BI155" s="480"/>
      <c r="BJ155" s="480"/>
      <c r="BK155" s="480"/>
      <c r="BL155" s="480"/>
      <c r="BM155" s="480"/>
      <c r="BN155" s="480"/>
      <c r="BO155" s="480"/>
      <c r="BP155" s="480"/>
      <c r="BQ155" s="480"/>
      <c r="BR155" s="480"/>
      <c r="BS155" s="495"/>
      <c r="BT155" s="195"/>
      <c r="BU155" s="195"/>
      <c r="BV155" s="195"/>
      <c r="BW155" s="195"/>
      <c r="BX155" s="195"/>
      <c r="BY155" s="195"/>
    </row>
    <row r="156" spans="2:77" ht="12.75" customHeight="1" x14ac:dyDescent="0.2">
      <c r="B156" s="195"/>
      <c r="C156" s="195"/>
      <c r="D156" s="195"/>
      <c r="E156" s="195"/>
      <c r="F156" s="463"/>
      <c r="G156" s="464"/>
      <c r="H156" s="464"/>
      <c r="I156" s="464"/>
      <c r="J156" s="464"/>
      <c r="K156" s="464"/>
      <c r="L156" s="464"/>
      <c r="M156" s="439"/>
      <c r="N156" s="440" t="s">
        <v>1117</v>
      </c>
      <c r="O156" s="441"/>
      <c r="P156" s="441"/>
      <c r="Q156" s="441"/>
      <c r="R156" s="441"/>
      <c r="S156" s="441"/>
      <c r="T156" s="441"/>
      <c r="U156" s="441"/>
      <c r="V156" s="441"/>
      <c r="W156" s="441"/>
      <c r="X156" s="441"/>
      <c r="Y156" s="441"/>
      <c r="Z156" s="441"/>
      <c r="AA156" s="441"/>
      <c r="AB156" s="441"/>
      <c r="AC156" s="441"/>
      <c r="AD156" s="441"/>
      <c r="AE156" s="441"/>
      <c r="AF156" s="441"/>
      <c r="AG156" s="441"/>
      <c r="AH156" s="441"/>
      <c r="AI156" s="441"/>
      <c r="AJ156" s="441"/>
      <c r="AK156" s="441"/>
      <c r="AL156" s="441"/>
      <c r="AM156" s="441"/>
      <c r="AN156" s="441"/>
      <c r="AO156" s="441"/>
      <c r="AP156" s="441"/>
      <c r="AQ156" s="441"/>
      <c r="AR156" s="441"/>
      <c r="AS156" s="441"/>
      <c r="AT156" s="441"/>
      <c r="AU156" s="441"/>
      <c r="AV156" s="441"/>
      <c r="AW156" s="441"/>
      <c r="AX156" s="441"/>
      <c r="AY156" s="441"/>
      <c r="AZ156" s="441"/>
      <c r="BA156" s="441"/>
      <c r="BB156" s="441"/>
      <c r="BC156" s="441"/>
      <c r="BD156" s="441"/>
      <c r="BE156" s="441"/>
      <c r="BF156" s="441"/>
      <c r="BG156" s="441"/>
      <c r="BH156" s="441"/>
      <c r="BI156" s="441"/>
      <c r="BJ156" s="441"/>
      <c r="BK156" s="441"/>
      <c r="BL156" s="441"/>
      <c r="BM156" s="441"/>
      <c r="BN156" s="441"/>
      <c r="BO156" s="441"/>
      <c r="BP156" s="480"/>
      <c r="BQ156" s="480"/>
      <c r="BR156" s="480"/>
      <c r="BS156" s="495"/>
      <c r="BT156" s="195"/>
      <c r="BU156" s="195"/>
      <c r="BV156" s="195"/>
      <c r="BW156" s="195"/>
      <c r="BX156" s="195"/>
      <c r="BY156" s="195"/>
    </row>
    <row r="157" spans="2:77" ht="6.95" customHeight="1" x14ac:dyDescent="0.2">
      <c r="B157" s="195"/>
      <c r="C157" s="195"/>
      <c r="D157" s="195"/>
      <c r="E157" s="195"/>
      <c r="F157" s="463"/>
      <c r="G157" s="464"/>
      <c r="H157" s="464"/>
      <c r="I157" s="464"/>
      <c r="J157" s="464"/>
      <c r="K157" s="464"/>
      <c r="L157" s="464"/>
      <c r="M157" s="439"/>
      <c r="N157" s="441"/>
      <c r="O157" s="441"/>
      <c r="P157" s="441"/>
      <c r="Q157" s="441"/>
      <c r="R157" s="441"/>
      <c r="S157" s="441"/>
      <c r="T157" s="441"/>
      <c r="U157" s="441"/>
      <c r="V157" s="441"/>
      <c r="W157" s="441"/>
      <c r="X157" s="441"/>
      <c r="Y157" s="441"/>
      <c r="Z157" s="441"/>
      <c r="AA157" s="441"/>
      <c r="AB157" s="441"/>
      <c r="AC157" s="441"/>
      <c r="AD157" s="441"/>
      <c r="AE157" s="441"/>
      <c r="AF157" s="441"/>
      <c r="AG157" s="441"/>
      <c r="AH157" s="441"/>
      <c r="AI157" s="441"/>
      <c r="AJ157" s="441"/>
      <c r="AK157" s="441"/>
      <c r="AL157" s="441"/>
      <c r="AM157" s="441"/>
      <c r="AN157" s="441"/>
      <c r="AO157" s="441"/>
      <c r="AP157" s="441"/>
      <c r="AQ157" s="441"/>
      <c r="AR157" s="441"/>
      <c r="AS157" s="441"/>
      <c r="AT157" s="441"/>
      <c r="AU157" s="441"/>
      <c r="AV157" s="441"/>
      <c r="AW157" s="441"/>
      <c r="AX157" s="441"/>
      <c r="AY157" s="441"/>
      <c r="AZ157" s="441"/>
      <c r="BA157" s="441"/>
      <c r="BB157" s="441"/>
      <c r="BC157" s="441"/>
      <c r="BD157" s="441"/>
      <c r="BE157" s="441"/>
      <c r="BF157" s="441"/>
      <c r="BG157" s="441"/>
      <c r="BH157" s="441"/>
      <c r="BI157" s="441"/>
      <c r="BJ157" s="441"/>
      <c r="BK157" s="441"/>
      <c r="BL157" s="441"/>
      <c r="BM157" s="441"/>
      <c r="BN157" s="441"/>
      <c r="BO157" s="441"/>
      <c r="BP157" s="480"/>
      <c r="BQ157" s="480"/>
      <c r="BR157" s="480"/>
      <c r="BS157" s="495"/>
      <c r="BT157" s="195"/>
      <c r="BU157" s="195"/>
      <c r="BV157" s="195"/>
      <c r="BW157" s="195"/>
      <c r="BX157" s="195"/>
      <c r="BY157" s="195"/>
    </row>
    <row r="158" spans="2:77" ht="10.15" customHeight="1" x14ac:dyDescent="0.2">
      <c r="B158" s="195"/>
      <c r="C158" s="195"/>
      <c r="D158" s="195"/>
      <c r="E158" s="195"/>
      <c r="F158" s="463"/>
      <c r="G158" s="464"/>
      <c r="H158" s="464"/>
      <c r="I158" s="464"/>
      <c r="J158" s="464"/>
      <c r="K158" s="464"/>
      <c r="L158" s="464"/>
      <c r="M158" s="439"/>
      <c r="N158" s="442" t="str">
        <f>"max. angemessene Heizkosten (mtl. bezogen auf "&amp;TEXT(Daten!D86,0)&amp;" Abschläge)"</f>
        <v>max. angemessene Heizkosten (mtl. bezogen auf nicht ausgewählt Abschläge)</v>
      </c>
      <c r="O158" s="441"/>
      <c r="P158" s="441"/>
      <c r="Q158" s="441"/>
      <c r="R158" s="441"/>
      <c r="S158" s="441"/>
      <c r="T158" s="441"/>
      <c r="U158" s="441"/>
      <c r="V158" s="441"/>
      <c r="W158" s="441"/>
      <c r="X158" s="441"/>
      <c r="Y158" s="441"/>
      <c r="Z158" s="441"/>
      <c r="AA158" s="441"/>
      <c r="AB158" s="441"/>
      <c r="AC158" s="441"/>
      <c r="AD158" s="441"/>
      <c r="AE158" s="441"/>
      <c r="AF158" s="441"/>
      <c r="AG158" s="441"/>
      <c r="AH158" s="441"/>
      <c r="AI158" s="441"/>
      <c r="AJ158" s="441"/>
      <c r="AK158" s="441"/>
      <c r="AL158" s="441"/>
      <c r="AM158" s="441"/>
      <c r="AN158" s="441"/>
      <c r="AO158" s="441"/>
      <c r="AP158" s="441"/>
      <c r="AQ158" s="441"/>
      <c r="AR158" s="441"/>
      <c r="AS158" s="441"/>
      <c r="AT158" s="441"/>
      <c r="AU158" s="441"/>
      <c r="AV158" s="441"/>
      <c r="AW158" s="441"/>
      <c r="AX158" s="441"/>
      <c r="AY158" s="441"/>
      <c r="AZ158" s="441"/>
      <c r="BA158" s="441"/>
      <c r="BB158" s="751" t="e">
        <f>Daten!E515</f>
        <v>#N/A</v>
      </c>
      <c r="BC158" s="751"/>
      <c r="BD158" s="751"/>
      <c r="BE158" s="751"/>
      <c r="BF158" s="751"/>
      <c r="BG158" s="751"/>
      <c r="BH158" s="751"/>
      <c r="BI158" s="751"/>
      <c r="BJ158" s="751"/>
      <c r="BK158" s="751"/>
      <c r="BL158" s="751"/>
      <c r="BM158" s="441"/>
      <c r="BN158" s="442" t="s">
        <v>853</v>
      </c>
      <c r="BO158" s="441"/>
      <c r="BP158" s="480"/>
      <c r="BQ158" s="480"/>
      <c r="BR158" s="480"/>
      <c r="BS158" s="495"/>
      <c r="BT158" s="195"/>
      <c r="BU158" s="195"/>
      <c r="BV158" s="195"/>
      <c r="BW158" s="195"/>
      <c r="BX158" s="195"/>
      <c r="BY158" s="195"/>
    </row>
    <row r="159" spans="2:77" ht="10.15" customHeight="1" x14ac:dyDescent="0.2">
      <c r="B159" s="195"/>
      <c r="C159" s="195"/>
      <c r="D159" s="195"/>
      <c r="E159" s="195"/>
      <c r="F159" s="463"/>
      <c r="G159" s="464"/>
      <c r="H159" s="464"/>
      <c r="I159" s="464"/>
      <c r="J159" s="464"/>
      <c r="K159" s="464"/>
      <c r="L159" s="464"/>
      <c r="M159" s="439"/>
      <c r="N159" s="290" t="str">
        <f>IF(Daten!D362=1,Daten!G506&amp;""&amp;TEXT(Daten!E517,"0,00")&amp;" "&amp;Daten!G508&amp;" "&amp;TEXT(Daten!E518,"0,00")&amp;" "&amp;Daten!G511,"")</f>
        <v/>
      </c>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1"/>
      <c r="AJ159" s="441"/>
      <c r="AK159" s="441"/>
      <c r="AL159" s="441"/>
      <c r="AM159" s="441"/>
      <c r="AN159" s="441"/>
      <c r="AO159" s="441"/>
      <c r="AP159" s="441"/>
      <c r="AQ159" s="441"/>
      <c r="AR159" s="441"/>
      <c r="AS159" s="441"/>
      <c r="AT159" s="441"/>
      <c r="AU159" s="441"/>
      <c r="AV159" s="441"/>
      <c r="AW159" s="441"/>
      <c r="AX159" s="441"/>
      <c r="AY159" s="441"/>
      <c r="AZ159" s="441"/>
      <c r="BA159" s="441"/>
      <c r="BB159" s="441"/>
      <c r="BC159" s="441"/>
      <c r="BD159" s="441"/>
      <c r="BE159" s="441"/>
      <c r="BF159" s="441"/>
      <c r="BG159" s="441"/>
      <c r="BH159" s="441"/>
      <c r="BI159" s="441"/>
      <c r="BJ159" s="441"/>
      <c r="BK159" s="441"/>
      <c r="BL159" s="441"/>
      <c r="BM159" s="441"/>
      <c r="BN159" s="441"/>
      <c r="BO159" s="441"/>
      <c r="BP159" s="480"/>
      <c r="BQ159" s="480"/>
      <c r="BR159" s="480"/>
      <c r="BS159" s="495"/>
      <c r="BT159" s="195"/>
      <c r="BU159" s="195"/>
      <c r="BV159" s="195"/>
      <c r="BW159" s="195"/>
      <c r="BX159" s="195"/>
      <c r="BY159" s="195"/>
    </row>
    <row r="160" spans="2:77" ht="12.75" customHeight="1" x14ac:dyDescent="0.2">
      <c r="B160" s="443"/>
      <c r="C160" s="443"/>
      <c r="D160" s="443"/>
      <c r="E160" s="443"/>
      <c r="F160" s="496"/>
      <c r="G160" s="497"/>
      <c r="H160" s="497"/>
      <c r="I160" s="497"/>
      <c r="J160" s="497"/>
      <c r="K160" s="497"/>
      <c r="L160" s="497"/>
      <c r="M160" s="439"/>
      <c r="N160" s="444" t="str">
        <f>"max. angemessene Heizkosten jährlich (=mtl. Betrag x "&amp;TEXT(Daten!D86,0)&amp;" Monate)"</f>
        <v>max. angemessene Heizkosten jährlich (=mtl. Betrag x nicht ausgewählt Monate)</v>
      </c>
      <c r="O160" s="442"/>
      <c r="P160" s="442"/>
      <c r="Q160" s="442"/>
      <c r="R160" s="442"/>
      <c r="S160" s="442"/>
      <c r="T160" s="442"/>
      <c r="U160" s="442"/>
      <c r="V160" s="442"/>
      <c r="W160" s="442"/>
      <c r="X160" s="442"/>
      <c r="Y160" s="442"/>
      <c r="Z160" s="442"/>
      <c r="AA160" s="442"/>
      <c r="AB160" s="442"/>
      <c r="AC160" s="442"/>
      <c r="AD160" s="442"/>
      <c r="AE160" s="442"/>
      <c r="AF160" s="442"/>
      <c r="AG160" s="442"/>
      <c r="AH160" s="442"/>
      <c r="AI160" s="442"/>
      <c r="AJ160" s="442"/>
      <c r="AK160" s="442"/>
      <c r="AL160" s="442"/>
      <c r="AM160" s="442"/>
      <c r="AN160" s="442"/>
      <c r="AO160" s="442"/>
      <c r="AP160" s="442"/>
      <c r="AQ160" s="442"/>
      <c r="AR160" s="442"/>
      <c r="AS160" s="442"/>
      <c r="AT160" s="442"/>
      <c r="AU160" s="442"/>
      <c r="AV160" s="442"/>
      <c r="AW160" s="442"/>
      <c r="AX160" s="442"/>
      <c r="AY160" s="442"/>
      <c r="AZ160" s="442"/>
      <c r="BA160" s="442"/>
      <c r="BB160" s="751" t="e">
        <f>Daten!E516</f>
        <v>#N/A</v>
      </c>
      <c r="BC160" s="751"/>
      <c r="BD160" s="751"/>
      <c r="BE160" s="751"/>
      <c r="BF160" s="751"/>
      <c r="BG160" s="751"/>
      <c r="BH160" s="751"/>
      <c r="BI160" s="751"/>
      <c r="BJ160" s="751"/>
      <c r="BK160" s="751"/>
      <c r="BL160" s="751"/>
      <c r="BM160" s="442"/>
      <c r="BN160" s="442" t="s">
        <v>853</v>
      </c>
      <c r="BO160" s="442"/>
      <c r="BP160" s="480"/>
      <c r="BQ160" s="480"/>
      <c r="BR160" s="480"/>
      <c r="BS160" s="495"/>
      <c r="BT160" s="195"/>
      <c r="BU160" s="195"/>
      <c r="BV160" s="195"/>
      <c r="BW160" s="195"/>
      <c r="BX160" s="195"/>
      <c r="BY160" s="195"/>
    </row>
    <row r="161" spans="2:77" ht="6.95" customHeight="1" x14ac:dyDescent="0.2">
      <c r="B161" s="195"/>
      <c r="C161" s="195"/>
      <c r="D161" s="195"/>
      <c r="E161" s="195"/>
      <c r="F161" s="463"/>
      <c r="G161" s="464"/>
      <c r="H161" s="464"/>
      <c r="I161" s="464"/>
      <c r="J161" s="464"/>
      <c r="K161" s="464"/>
      <c r="L161" s="464"/>
      <c r="M161" s="439"/>
      <c r="N161" s="445"/>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1"/>
      <c r="AJ161" s="441"/>
      <c r="AK161" s="441"/>
      <c r="AL161" s="441"/>
      <c r="AM161" s="441"/>
      <c r="AN161" s="441"/>
      <c r="AO161" s="441"/>
      <c r="AP161" s="441"/>
      <c r="AQ161" s="441"/>
      <c r="AR161" s="441"/>
      <c r="AS161" s="441"/>
      <c r="AT161" s="441"/>
      <c r="AU161" s="441"/>
      <c r="AV161" s="441"/>
      <c r="AW161" s="441"/>
      <c r="AX161" s="441"/>
      <c r="AY161" s="441"/>
      <c r="AZ161" s="441"/>
      <c r="BA161" s="441"/>
      <c r="BB161" s="441"/>
      <c r="BC161" s="441"/>
      <c r="BD161" s="441"/>
      <c r="BE161" s="441"/>
      <c r="BF161" s="441"/>
      <c r="BG161" s="441"/>
      <c r="BH161" s="441"/>
      <c r="BI161" s="441"/>
      <c r="BJ161" s="441"/>
      <c r="BK161" s="441"/>
      <c r="BL161" s="441"/>
      <c r="BM161" s="441"/>
      <c r="BN161" s="441"/>
      <c r="BO161" s="441"/>
      <c r="BP161" s="480"/>
      <c r="BQ161" s="480"/>
      <c r="BR161" s="480"/>
      <c r="BS161" s="495"/>
      <c r="BT161" s="195"/>
      <c r="BU161" s="195"/>
      <c r="BV161" s="195"/>
      <c r="BW161" s="195"/>
      <c r="BX161" s="195"/>
      <c r="BY161" s="195"/>
    </row>
    <row r="162" spans="2:77" ht="13.7" customHeight="1" x14ac:dyDescent="0.2">
      <c r="B162" s="195"/>
      <c r="C162" s="195"/>
      <c r="D162" s="195"/>
      <c r="E162" s="195"/>
      <c r="F162" s="463"/>
      <c r="G162" s="464"/>
      <c r="H162" s="464"/>
      <c r="I162" s="464"/>
      <c r="J162" s="464"/>
      <c r="K162" s="464"/>
      <c r="L162" s="464"/>
      <c r="M162" s="439"/>
      <c r="N162" s="442" t="str">
        <f>"tats./bezifferte Heizkosten (monatlich, "&amp;TEXT(Daten!D86,0)&amp;" Abschläge)"</f>
        <v>tats./bezifferte Heizkosten (monatlich, nicht ausgewählt Abschläge)</v>
      </c>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1"/>
      <c r="AJ162" s="441"/>
      <c r="AK162" s="441"/>
      <c r="AL162" s="441"/>
      <c r="AM162" s="441"/>
      <c r="AN162" s="441"/>
      <c r="AO162" s="441"/>
      <c r="AP162" s="441"/>
      <c r="AQ162" s="441"/>
      <c r="AR162" s="441"/>
      <c r="AS162" s="441"/>
      <c r="AT162" s="441"/>
      <c r="AU162" s="441"/>
      <c r="AV162" s="441"/>
      <c r="AW162" s="441"/>
      <c r="AX162" s="441"/>
      <c r="AY162" s="441"/>
      <c r="AZ162" s="441"/>
      <c r="BA162" s="441"/>
      <c r="BB162" s="751">
        <f>BM104</f>
        <v>0</v>
      </c>
      <c r="BC162" s="751"/>
      <c r="BD162" s="751"/>
      <c r="BE162" s="751"/>
      <c r="BF162" s="751"/>
      <c r="BG162" s="751"/>
      <c r="BH162" s="751"/>
      <c r="BI162" s="751"/>
      <c r="BJ162" s="751"/>
      <c r="BK162" s="751"/>
      <c r="BL162" s="751"/>
      <c r="BM162" s="441"/>
      <c r="BN162" s="442" t="s">
        <v>853</v>
      </c>
      <c r="BO162" s="442"/>
      <c r="BP162" s="480"/>
      <c r="BQ162" s="480"/>
      <c r="BR162" s="480"/>
      <c r="BS162" s="495"/>
      <c r="BT162" s="195"/>
      <c r="BU162" s="195"/>
      <c r="BV162" s="195"/>
      <c r="BW162" s="195"/>
      <c r="BX162" s="195"/>
      <c r="BY162" s="195"/>
    </row>
    <row r="163" spans="2:77" ht="10.15" customHeight="1" x14ac:dyDescent="0.2">
      <c r="B163" s="195"/>
      <c r="C163" s="195"/>
      <c r="D163" s="195"/>
      <c r="E163" s="195"/>
      <c r="F163" s="463"/>
      <c r="G163" s="464"/>
      <c r="H163" s="464"/>
      <c r="I163" s="464"/>
      <c r="J163" s="464"/>
      <c r="K163" s="464"/>
      <c r="L163" s="464"/>
      <c r="M163" s="439"/>
      <c r="N163" s="290" t="str">
        <f>AO106</f>
        <v/>
      </c>
      <c r="O163" s="441"/>
      <c r="P163" s="441"/>
      <c r="Q163" s="441"/>
      <c r="R163" s="441"/>
      <c r="S163" s="441"/>
      <c r="T163" s="441"/>
      <c r="U163" s="441"/>
      <c r="V163" s="441"/>
      <c r="W163" s="441"/>
      <c r="X163" s="441"/>
      <c r="Y163" s="441"/>
      <c r="Z163" s="441"/>
      <c r="AA163" s="441"/>
      <c r="AB163" s="441"/>
      <c r="AC163" s="441"/>
      <c r="AD163" s="441"/>
      <c r="AE163" s="441"/>
      <c r="AF163" s="441"/>
      <c r="AG163" s="441"/>
      <c r="AH163" s="441"/>
      <c r="AI163" s="441"/>
      <c r="AJ163" s="441"/>
      <c r="AK163" s="441"/>
      <c r="AL163" s="441"/>
      <c r="AM163" s="441"/>
      <c r="AN163" s="441"/>
      <c r="AO163" s="441"/>
      <c r="AP163" s="441"/>
      <c r="AQ163" s="441"/>
      <c r="AR163" s="441"/>
      <c r="AS163" s="441"/>
      <c r="AT163" s="441"/>
      <c r="AU163" s="441"/>
      <c r="AV163" s="441"/>
      <c r="AW163" s="441"/>
      <c r="AX163" s="441"/>
      <c r="AY163" s="441"/>
      <c r="AZ163" s="441"/>
      <c r="BA163" s="441"/>
      <c r="BB163" s="446"/>
      <c r="BC163" s="447"/>
      <c r="BD163" s="447"/>
      <c r="BE163" s="447"/>
      <c r="BF163" s="447"/>
      <c r="BG163" s="447"/>
      <c r="BH163" s="447"/>
      <c r="BI163" s="447"/>
      <c r="BJ163" s="447"/>
      <c r="BK163" s="447"/>
      <c r="BL163" s="447"/>
      <c r="BM163" s="441"/>
      <c r="BN163" s="442"/>
      <c r="BO163" s="442"/>
      <c r="BP163" s="480"/>
      <c r="BQ163" s="480"/>
      <c r="BR163" s="480"/>
      <c r="BS163" s="495"/>
      <c r="BT163" s="195"/>
      <c r="BU163" s="195"/>
      <c r="BV163" s="195"/>
    </row>
    <row r="164" spans="2:77" ht="10.15" customHeight="1" x14ac:dyDescent="0.2">
      <c r="B164" s="195"/>
      <c r="C164" s="195"/>
      <c r="D164" s="195"/>
      <c r="E164" s="195"/>
      <c r="F164" s="463"/>
      <c r="G164" s="464"/>
      <c r="H164" s="464"/>
      <c r="I164" s="464"/>
      <c r="J164" s="464"/>
      <c r="K164" s="464"/>
      <c r="L164" s="464"/>
      <c r="M164" s="439"/>
      <c r="N164" s="290"/>
      <c r="O164" s="441"/>
      <c r="P164" s="441"/>
      <c r="Q164" s="441"/>
      <c r="R164" s="441"/>
      <c r="S164" s="441"/>
      <c r="T164" s="441"/>
      <c r="U164" s="441"/>
      <c r="V164" s="441"/>
      <c r="W164" s="441"/>
      <c r="X164" s="441"/>
      <c r="Y164" s="441"/>
      <c r="Z164" s="441"/>
      <c r="AA164" s="441"/>
      <c r="AB164" s="441"/>
      <c r="AC164" s="441"/>
      <c r="AD164" s="441"/>
      <c r="AE164" s="441"/>
      <c r="AF164" s="441"/>
      <c r="AG164" s="441"/>
      <c r="AH164" s="441"/>
      <c r="AI164" s="441"/>
      <c r="AJ164" s="441"/>
      <c r="AK164" s="441"/>
      <c r="AL164" s="441"/>
      <c r="AM164" s="441"/>
      <c r="AN164" s="441"/>
      <c r="AO164" s="441"/>
      <c r="AP164" s="441"/>
      <c r="AQ164" s="441"/>
      <c r="AR164" s="441"/>
      <c r="AS164" s="441"/>
      <c r="AT164" s="441"/>
      <c r="AU164" s="441"/>
      <c r="AV164" s="441"/>
      <c r="AW164" s="441"/>
      <c r="AX164" s="441"/>
      <c r="AY164" s="441"/>
      <c r="AZ164" s="441"/>
      <c r="BA164" s="441"/>
      <c r="BB164" s="508"/>
      <c r="BC164" s="509"/>
      <c r="BD164" s="509"/>
      <c r="BE164" s="509"/>
      <c r="BF164" s="509"/>
      <c r="BG164" s="509"/>
      <c r="BH164" s="509"/>
      <c r="BI164" s="509"/>
      <c r="BJ164" s="509"/>
      <c r="BK164" s="509"/>
      <c r="BL164" s="509"/>
      <c r="BM164" s="441"/>
      <c r="BN164" s="442"/>
      <c r="BO164" s="442"/>
      <c r="BP164" s="506"/>
      <c r="BQ164" s="506"/>
      <c r="BR164" s="506"/>
      <c r="BS164" s="507"/>
      <c r="BT164" s="195"/>
      <c r="BU164" s="195"/>
      <c r="BV164" s="195"/>
    </row>
    <row r="165" spans="2:77" ht="10.15" customHeight="1" x14ac:dyDescent="0.2">
      <c r="B165" s="195"/>
      <c r="C165" s="195"/>
      <c r="D165" s="195"/>
      <c r="E165" s="195"/>
      <c r="F165" s="463"/>
      <c r="G165" s="464"/>
      <c r="H165" s="464"/>
      <c r="I165" s="464"/>
      <c r="J165" s="464"/>
      <c r="K165" s="464"/>
      <c r="L165" s="464"/>
      <c r="M165" s="439"/>
      <c r="N165" s="442" t="s">
        <v>1167</v>
      </c>
      <c r="O165" s="441"/>
      <c r="P165" s="441"/>
      <c r="Q165" s="441"/>
      <c r="R165" s="441"/>
      <c r="S165" s="441"/>
      <c r="T165" s="441"/>
      <c r="U165" s="441"/>
      <c r="V165" s="441"/>
      <c r="W165" s="441"/>
      <c r="X165" s="441"/>
      <c r="Y165" s="441"/>
      <c r="Z165" s="441"/>
      <c r="AA165" s="441"/>
      <c r="AB165" s="441"/>
      <c r="AC165" s="441"/>
      <c r="AD165" s="441"/>
      <c r="AE165" s="441"/>
      <c r="AF165" s="441"/>
      <c r="AG165" s="441"/>
      <c r="AH165" s="441"/>
      <c r="AI165" s="441"/>
      <c r="AJ165" s="441"/>
      <c r="AK165" s="441"/>
      <c r="AL165" s="441"/>
      <c r="AM165" s="441"/>
      <c r="AN165" s="441"/>
      <c r="AO165" s="441"/>
      <c r="AP165" s="441"/>
      <c r="AQ165" s="441"/>
      <c r="AR165" s="441"/>
      <c r="AS165" s="441"/>
      <c r="AT165" s="441"/>
      <c r="AU165" s="441"/>
      <c r="AV165" s="520" t="e">
        <f>Daten!D135</f>
        <v>#N/A</v>
      </c>
      <c r="AW165" s="520"/>
      <c r="AX165" s="520"/>
      <c r="AY165" s="520"/>
      <c r="AZ165" s="520"/>
      <c r="BA165" s="520"/>
      <c r="BB165" s="751" t="e">
        <f>Daten!D135</f>
        <v>#N/A</v>
      </c>
      <c r="BC165" s="751"/>
      <c r="BD165" s="751"/>
      <c r="BE165" s="751"/>
      <c r="BF165" s="751"/>
      <c r="BG165" s="751"/>
      <c r="BH165" s="751"/>
      <c r="BI165" s="751"/>
      <c r="BJ165" s="751"/>
      <c r="BK165" s="751"/>
      <c r="BL165" s="751"/>
      <c r="BM165" s="441"/>
      <c r="BN165" s="442" t="s">
        <v>401</v>
      </c>
      <c r="BO165" s="442"/>
      <c r="BP165" s="506"/>
      <c r="BQ165" s="506"/>
      <c r="BR165" s="506"/>
      <c r="BS165" s="507"/>
      <c r="BT165" s="195"/>
      <c r="BU165" s="195"/>
      <c r="BV165" s="195"/>
    </row>
    <row r="166" spans="2:77" ht="4.7" customHeight="1" x14ac:dyDescent="0.2">
      <c r="B166" s="195"/>
      <c r="C166" s="195"/>
      <c r="D166" s="195"/>
      <c r="E166" s="195"/>
      <c r="F166" s="463"/>
      <c r="G166" s="464"/>
      <c r="H166" s="464"/>
      <c r="I166" s="464"/>
      <c r="J166" s="464"/>
      <c r="K166" s="464"/>
      <c r="L166" s="464"/>
      <c r="M166" s="439"/>
      <c r="N166" s="290"/>
      <c r="O166" s="441"/>
      <c r="P166" s="441"/>
      <c r="Q166" s="441"/>
      <c r="R166" s="441"/>
      <c r="S166" s="441"/>
      <c r="T166" s="441"/>
      <c r="U166" s="441"/>
      <c r="V166" s="441"/>
      <c r="W166" s="441"/>
      <c r="X166" s="441"/>
      <c r="Y166" s="441"/>
      <c r="Z166" s="441"/>
      <c r="AA166" s="441"/>
      <c r="AB166" s="441"/>
      <c r="AC166" s="441"/>
      <c r="AD166" s="441"/>
      <c r="AE166" s="441"/>
      <c r="AF166" s="441"/>
      <c r="AG166" s="441"/>
      <c r="AH166" s="441"/>
      <c r="AI166" s="441"/>
      <c r="AJ166" s="441"/>
      <c r="AK166" s="441"/>
      <c r="AL166" s="441"/>
      <c r="AM166" s="441"/>
      <c r="AN166" s="441"/>
      <c r="AO166" s="441"/>
      <c r="AP166" s="441"/>
      <c r="AQ166" s="441"/>
      <c r="AR166" s="441"/>
      <c r="AS166" s="441"/>
      <c r="AT166" s="441"/>
      <c r="AU166" s="441"/>
      <c r="AV166" s="441"/>
      <c r="AW166" s="441"/>
      <c r="AX166" s="441"/>
      <c r="AY166" s="441"/>
      <c r="AZ166" s="441"/>
      <c r="BA166" s="441"/>
      <c r="BB166" s="446"/>
      <c r="BC166" s="447"/>
      <c r="BD166" s="447"/>
      <c r="BE166" s="447"/>
      <c r="BF166" s="447"/>
      <c r="BG166" s="447"/>
      <c r="BH166" s="447"/>
      <c r="BI166" s="447"/>
      <c r="BJ166" s="447"/>
      <c r="BK166" s="447"/>
      <c r="BL166" s="447"/>
      <c r="BM166" s="441"/>
      <c r="BN166" s="442"/>
      <c r="BO166" s="442"/>
      <c r="BP166" s="480"/>
      <c r="BQ166" s="480"/>
      <c r="BR166" s="480"/>
      <c r="BS166" s="495"/>
      <c r="BT166" s="195"/>
      <c r="BU166" s="195"/>
      <c r="BV166" s="195"/>
    </row>
    <row r="167" spans="2:77" ht="5.0999999999999996" customHeight="1" x14ac:dyDescent="0.2">
      <c r="B167" s="195"/>
      <c r="C167" s="195"/>
      <c r="D167" s="195"/>
      <c r="E167" s="195"/>
      <c r="F167" s="498"/>
      <c r="G167" s="485"/>
      <c r="H167" s="485"/>
      <c r="I167" s="485"/>
      <c r="J167" s="485"/>
      <c r="K167" s="485"/>
      <c r="L167" s="485"/>
      <c r="M167" s="485"/>
      <c r="N167" s="499"/>
      <c r="O167" s="499"/>
      <c r="P167" s="499"/>
      <c r="Q167" s="499"/>
      <c r="R167" s="499"/>
      <c r="S167" s="499"/>
      <c r="T167" s="499"/>
      <c r="U167" s="499"/>
      <c r="V167" s="499"/>
      <c r="W167" s="499"/>
      <c r="X167" s="499"/>
      <c r="Y167" s="499"/>
      <c r="Z167" s="499"/>
      <c r="AA167" s="499"/>
      <c r="AB167" s="499"/>
      <c r="AC167" s="499"/>
      <c r="AD167" s="499"/>
      <c r="AE167" s="499"/>
      <c r="AF167" s="499"/>
      <c r="AG167" s="499"/>
      <c r="AH167" s="499"/>
      <c r="AI167" s="499"/>
      <c r="AJ167" s="499"/>
      <c r="AK167" s="499"/>
      <c r="AL167" s="499"/>
      <c r="AM167" s="499"/>
      <c r="AN167" s="499"/>
      <c r="AO167" s="499"/>
      <c r="AP167" s="499"/>
      <c r="AQ167" s="499"/>
      <c r="AR167" s="499"/>
      <c r="AS167" s="499"/>
      <c r="AT167" s="499"/>
      <c r="AU167" s="499"/>
      <c r="AV167" s="499"/>
      <c r="AW167" s="499"/>
      <c r="AX167" s="499"/>
      <c r="AY167" s="499"/>
      <c r="AZ167" s="499"/>
      <c r="BA167" s="499"/>
      <c r="BB167" s="499"/>
      <c r="BC167" s="499"/>
      <c r="BD167" s="499"/>
      <c r="BE167" s="499"/>
      <c r="BF167" s="499"/>
      <c r="BG167" s="499"/>
      <c r="BH167" s="499"/>
      <c r="BI167" s="499"/>
      <c r="BJ167" s="499"/>
      <c r="BK167" s="499"/>
      <c r="BL167" s="499"/>
      <c r="BM167" s="499"/>
      <c r="BN167" s="499"/>
      <c r="BO167" s="499"/>
      <c r="BP167" s="499"/>
      <c r="BQ167" s="499"/>
      <c r="BR167" s="499"/>
      <c r="BS167" s="500"/>
      <c r="BT167" s="195"/>
      <c r="BU167" s="195"/>
      <c r="BV167" s="195"/>
    </row>
    <row r="168" spans="2:77" ht="4.1500000000000004" customHeight="1" x14ac:dyDescent="0.2">
      <c r="B168" s="194"/>
      <c r="C168" s="365"/>
      <c r="D168" s="365"/>
      <c r="E168" s="365"/>
      <c r="F168" s="365"/>
      <c r="G168" s="365"/>
      <c r="H168" s="365"/>
      <c r="I168" s="365"/>
      <c r="J168" s="365"/>
      <c r="K168" s="365"/>
      <c r="L168" s="365"/>
      <c r="M168" s="365"/>
      <c r="N168" s="365"/>
      <c r="O168" s="365"/>
      <c r="P168" s="365"/>
      <c r="Q168" s="365"/>
      <c r="R168" s="365"/>
      <c r="S168" s="365"/>
      <c r="T168" s="365"/>
      <c r="U168" s="365"/>
      <c r="V168" s="365"/>
      <c r="W168" s="365"/>
      <c r="X168" s="365"/>
      <c r="Y168" s="365"/>
      <c r="Z168" s="365"/>
      <c r="AA168" s="365"/>
      <c r="AB168" s="365"/>
      <c r="AC168" s="365"/>
      <c r="AD168" s="365"/>
      <c r="AE168" s="365"/>
      <c r="AF168" s="194"/>
      <c r="AG168" s="194"/>
      <c r="AH168" s="365"/>
      <c r="AI168" s="365"/>
      <c r="AJ168" s="365"/>
      <c r="AK168" s="365"/>
      <c r="AL168" s="365"/>
      <c r="AM168" s="365"/>
      <c r="AN168" s="365"/>
      <c r="AO168" s="365"/>
      <c r="AP168" s="365"/>
      <c r="AQ168" s="194"/>
      <c r="AR168" s="194"/>
      <c r="AS168" s="194"/>
      <c r="AT168" s="194"/>
      <c r="AU168" s="194"/>
      <c r="AV168" s="194"/>
      <c r="AW168" s="194"/>
      <c r="AX168" s="194"/>
      <c r="AY168" s="194"/>
      <c r="AZ168" s="194"/>
      <c r="BA168" s="194"/>
      <c r="BB168" s="194"/>
      <c r="BC168" s="194"/>
      <c r="BD168" s="365"/>
      <c r="BE168" s="365"/>
      <c r="BF168" s="365"/>
      <c r="BG168" s="365"/>
      <c r="BH168" s="365"/>
      <c r="BI168" s="365"/>
      <c r="BJ168" s="365"/>
      <c r="BK168" s="365"/>
      <c r="BL168" s="365"/>
      <c r="BM168" s="365"/>
      <c r="BN168" s="365"/>
      <c r="BO168" s="365"/>
      <c r="BP168" s="365"/>
      <c r="BQ168" s="365"/>
      <c r="BR168" s="365"/>
      <c r="BS168" s="365"/>
      <c r="BT168" s="365"/>
      <c r="BU168" s="365"/>
      <c r="BV168" s="365"/>
      <c r="BW168" s="365"/>
      <c r="BX168" s="365"/>
      <c r="BY168" s="194"/>
    </row>
    <row r="169" spans="2:77" ht="10.15" customHeight="1" x14ac:dyDescent="0.2">
      <c r="B169" s="194"/>
      <c r="C169" s="365"/>
      <c r="D169" s="365"/>
      <c r="E169" s="365"/>
      <c r="F169" s="365"/>
      <c r="G169" s="365"/>
      <c r="H169" s="365"/>
      <c r="I169" s="365"/>
      <c r="J169" s="365"/>
      <c r="K169" s="365"/>
      <c r="L169" s="365"/>
      <c r="M169" s="365"/>
      <c r="N169" s="365"/>
      <c r="O169" s="365"/>
      <c r="P169" s="365"/>
      <c r="Q169" s="365"/>
      <c r="R169" s="365"/>
      <c r="S169" s="365"/>
      <c r="T169" s="365"/>
      <c r="U169" s="365"/>
      <c r="V169" s="365"/>
      <c r="W169" s="365"/>
      <c r="X169" s="365"/>
      <c r="Y169" s="365"/>
      <c r="Z169" s="365"/>
      <c r="AA169" s="365"/>
      <c r="AB169" s="365"/>
      <c r="AC169" s="365"/>
      <c r="AD169" s="365"/>
      <c r="AE169" s="365"/>
      <c r="AF169" s="194"/>
      <c r="AG169" s="194"/>
      <c r="AH169" s="365"/>
      <c r="AI169" s="365"/>
      <c r="AJ169" s="365"/>
      <c r="AK169" s="365"/>
      <c r="AL169" s="365"/>
      <c r="AM169" s="365"/>
      <c r="AN169" s="365"/>
      <c r="AO169" s="365"/>
      <c r="AP169" s="365"/>
      <c r="AQ169" s="194"/>
      <c r="AR169" s="194"/>
      <c r="AS169" s="194"/>
      <c r="AT169" s="194"/>
      <c r="AU169" s="194"/>
      <c r="AV169" s="194"/>
      <c r="AW169" s="194"/>
      <c r="AX169" s="194"/>
      <c r="AY169" s="194"/>
      <c r="AZ169" s="194"/>
      <c r="BA169" s="194"/>
      <c r="BB169" s="194"/>
      <c r="BC169" s="194"/>
      <c r="BD169" s="365"/>
      <c r="BE169" s="365"/>
      <c r="BF169" s="365"/>
      <c r="BG169" s="365"/>
      <c r="BH169" s="365"/>
      <c r="BI169" s="365"/>
      <c r="BJ169" s="365"/>
      <c r="BK169" s="365"/>
      <c r="BL169" s="365"/>
      <c r="BM169" s="365"/>
      <c r="BN169" s="365"/>
      <c r="BO169" s="365"/>
      <c r="BP169" s="365"/>
      <c r="BQ169" s="365"/>
      <c r="BR169" s="365"/>
      <c r="BS169" s="365"/>
      <c r="BT169" s="365"/>
      <c r="BU169" s="365"/>
      <c r="BV169" s="365"/>
      <c r="BW169" s="365"/>
      <c r="BX169" s="365"/>
      <c r="BY169" s="448" t="s">
        <v>1155</v>
      </c>
    </row>
    <row r="170" spans="2:77" ht="7.5" customHeight="1" x14ac:dyDescent="0.2">
      <c r="B170" s="194"/>
      <c r="C170" s="365"/>
      <c r="D170" s="365"/>
      <c r="E170" s="365"/>
      <c r="F170" s="365"/>
      <c r="G170" s="365"/>
      <c r="H170" s="365"/>
      <c r="I170" s="365"/>
      <c r="J170" s="365"/>
      <c r="K170" s="365"/>
      <c r="L170" s="365"/>
      <c r="M170" s="365"/>
      <c r="N170" s="365"/>
      <c r="O170" s="365"/>
      <c r="P170" s="365"/>
      <c r="Q170" s="365"/>
      <c r="R170" s="365"/>
      <c r="S170" s="365"/>
      <c r="T170" s="365"/>
      <c r="U170" s="365"/>
      <c r="V170" s="365"/>
      <c r="W170" s="365"/>
      <c r="X170" s="365"/>
      <c r="Y170" s="365"/>
      <c r="Z170" s="365"/>
      <c r="AA170" s="365"/>
      <c r="AB170" s="365"/>
      <c r="AC170" s="365"/>
      <c r="AD170" s="365"/>
      <c r="AE170" s="365"/>
      <c r="AF170" s="194"/>
      <c r="AG170" s="194"/>
      <c r="AH170" s="365"/>
      <c r="AI170" s="365"/>
      <c r="AJ170" s="365"/>
      <c r="AK170" s="365"/>
      <c r="AL170" s="365"/>
      <c r="AM170" s="365"/>
      <c r="AN170" s="365"/>
      <c r="AO170" s="365"/>
      <c r="AP170" s="365"/>
      <c r="AQ170" s="194"/>
      <c r="AR170" s="194"/>
      <c r="AS170" s="194"/>
      <c r="AT170" s="194"/>
      <c r="AU170" s="194"/>
      <c r="AV170" s="194"/>
      <c r="AW170" s="194"/>
      <c r="AX170" s="194"/>
      <c r="AY170" s="194"/>
      <c r="AZ170" s="194"/>
      <c r="BA170" s="194"/>
      <c r="BB170" s="194"/>
      <c r="BC170" s="194"/>
      <c r="BD170" s="365"/>
      <c r="BE170" s="365"/>
      <c r="BF170" s="365"/>
      <c r="BG170" s="365"/>
      <c r="BH170" s="365"/>
      <c r="BI170" s="365"/>
      <c r="BJ170" s="365"/>
      <c r="BK170" s="365"/>
      <c r="BL170" s="365"/>
      <c r="BM170" s="365"/>
      <c r="BN170" s="365"/>
      <c r="BO170" s="365"/>
      <c r="BP170" s="365"/>
      <c r="BQ170" s="365"/>
      <c r="BR170" s="365"/>
      <c r="BS170" s="365"/>
      <c r="BT170" s="365"/>
      <c r="BU170" s="365"/>
      <c r="BV170" s="365"/>
      <c r="BW170" s="365"/>
      <c r="BX170" s="365"/>
      <c r="BY170" s="194"/>
    </row>
    <row r="171" spans="2:77" ht="5.25" customHeight="1" x14ac:dyDescent="0.2">
      <c r="B171" s="194"/>
      <c r="C171" s="365"/>
      <c r="D171" s="365"/>
      <c r="E171" s="365"/>
      <c r="F171" s="365"/>
      <c r="G171" s="365"/>
      <c r="H171" s="365"/>
      <c r="I171" s="365"/>
      <c r="J171" s="365"/>
      <c r="K171" s="365"/>
      <c r="L171" s="365"/>
      <c r="M171" s="365"/>
      <c r="N171" s="365"/>
      <c r="O171" s="365"/>
      <c r="P171" s="365"/>
      <c r="Q171" s="365"/>
      <c r="R171" s="365"/>
      <c r="S171" s="365"/>
      <c r="T171" s="365"/>
      <c r="U171" s="365"/>
      <c r="V171" s="365"/>
      <c r="W171" s="365"/>
      <c r="X171" s="365"/>
      <c r="Y171" s="365"/>
      <c r="Z171" s="365"/>
      <c r="AA171" s="365"/>
      <c r="AB171" s="365"/>
      <c r="AC171" s="365"/>
      <c r="AD171" s="365"/>
      <c r="AE171" s="365"/>
      <c r="AF171" s="194"/>
      <c r="AG171" s="194"/>
      <c r="AH171" s="365"/>
      <c r="AI171" s="365"/>
      <c r="AJ171" s="365"/>
      <c r="AK171" s="365"/>
      <c r="AL171" s="365"/>
      <c r="AM171" s="365"/>
      <c r="AN171" s="365"/>
      <c r="AO171" s="365"/>
      <c r="AP171" s="365"/>
      <c r="AQ171" s="194"/>
      <c r="AR171" s="194"/>
      <c r="AS171" s="194"/>
      <c r="AT171" s="194"/>
      <c r="AU171" s="194"/>
      <c r="AV171" s="194"/>
      <c r="AW171" s="194"/>
      <c r="AX171" s="194"/>
      <c r="AY171" s="194"/>
      <c r="AZ171" s="194"/>
      <c r="BA171" s="194"/>
      <c r="BB171" s="194"/>
      <c r="BC171" s="194"/>
      <c r="BD171" s="365"/>
      <c r="BE171" s="365"/>
      <c r="BF171" s="365"/>
      <c r="BG171" s="365"/>
      <c r="BH171" s="365"/>
      <c r="BI171" s="365"/>
      <c r="BJ171" s="365"/>
      <c r="BK171" s="365"/>
      <c r="BL171" s="365"/>
      <c r="BM171" s="365"/>
      <c r="BN171" s="365"/>
      <c r="BO171" s="365"/>
      <c r="BP171" s="365"/>
      <c r="BQ171" s="365"/>
      <c r="BR171" s="365"/>
      <c r="BS171" s="365"/>
      <c r="BT171" s="365"/>
      <c r="BU171" s="365"/>
      <c r="BV171" s="365"/>
      <c r="BW171" s="365"/>
      <c r="BX171" s="365"/>
      <c r="BY171" s="194"/>
    </row>
    <row r="172" spans="2:77" ht="3.2" customHeight="1" x14ac:dyDescent="0.2">
      <c r="B172" s="194"/>
      <c r="C172" s="365"/>
      <c r="D172" s="365"/>
      <c r="E172" s="365"/>
      <c r="F172" s="365"/>
      <c r="G172" s="365"/>
      <c r="H172" s="365"/>
      <c r="I172" s="365"/>
      <c r="J172" s="365"/>
      <c r="K172" s="365"/>
      <c r="L172" s="365"/>
      <c r="M172" s="365"/>
      <c r="N172" s="365"/>
      <c r="O172" s="365"/>
      <c r="P172" s="365"/>
      <c r="Q172" s="365"/>
      <c r="R172" s="365"/>
      <c r="S172" s="365"/>
      <c r="T172" s="365"/>
      <c r="U172" s="365"/>
      <c r="V172" s="365"/>
      <c r="W172" s="365"/>
      <c r="X172" s="365"/>
      <c r="Y172" s="365"/>
      <c r="Z172" s="365"/>
      <c r="AA172" s="365"/>
      <c r="AB172" s="365"/>
      <c r="AC172" s="365"/>
      <c r="AD172" s="365"/>
      <c r="AE172" s="365"/>
      <c r="AF172" s="194"/>
      <c r="AG172" s="194"/>
      <c r="AH172" s="365"/>
      <c r="AI172" s="365"/>
      <c r="AJ172" s="365"/>
      <c r="AK172" s="365"/>
      <c r="AL172" s="365"/>
      <c r="AM172" s="365"/>
      <c r="AN172" s="365"/>
      <c r="AO172" s="365"/>
      <c r="AP172" s="365"/>
      <c r="AQ172" s="194"/>
      <c r="AR172" s="194"/>
      <c r="AS172" s="194"/>
      <c r="AT172" s="194"/>
      <c r="AU172" s="194"/>
      <c r="AV172" s="194"/>
      <c r="AW172" s="194"/>
      <c r="AX172" s="194"/>
      <c r="AY172" s="194"/>
      <c r="AZ172" s="194"/>
      <c r="BA172" s="194"/>
      <c r="BB172" s="194"/>
      <c r="BC172" s="194"/>
      <c r="BD172" s="365"/>
      <c r="BE172" s="365"/>
      <c r="BF172" s="365"/>
      <c r="BG172" s="365"/>
      <c r="BH172" s="365"/>
      <c r="BI172" s="365"/>
      <c r="BJ172" s="365"/>
      <c r="BK172" s="365"/>
      <c r="BL172" s="365"/>
      <c r="BM172" s="365"/>
      <c r="BN172" s="365"/>
      <c r="BO172" s="365"/>
      <c r="BP172" s="365"/>
      <c r="BQ172" s="365"/>
      <c r="BR172" s="365"/>
      <c r="BS172" s="365"/>
      <c r="BT172" s="365"/>
      <c r="BU172" s="365"/>
      <c r="BV172" s="365"/>
      <c r="BX172" s="448"/>
      <c r="BY172" s="448"/>
    </row>
    <row r="173" spans="2:77" ht="10.5" customHeight="1" x14ac:dyDescent="0.2">
      <c r="B173" s="194"/>
      <c r="C173" s="365"/>
      <c r="D173" s="365"/>
      <c r="E173" s="365"/>
      <c r="F173" s="365"/>
      <c r="G173" s="365"/>
      <c r="H173" s="365"/>
      <c r="I173" s="365"/>
      <c r="J173" s="365"/>
      <c r="K173" s="365"/>
      <c r="L173" s="365"/>
      <c r="M173" s="365"/>
      <c r="N173" s="365"/>
      <c r="O173" s="365"/>
      <c r="P173" s="365"/>
      <c r="Q173" s="365"/>
      <c r="R173" s="365"/>
      <c r="S173" s="365"/>
      <c r="T173" s="365"/>
      <c r="U173" s="365"/>
      <c r="V173" s="365"/>
      <c r="W173" s="365"/>
      <c r="X173" s="365"/>
      <c r="Y173" s="365"/>
      <c r="Z173" s="365"/>
      <c r="AA173" s="365"/>
      <c r="AB173" s="365"/>
      <c r="AC173" s="365"/>
      <c r="AD173" s="365"/>
      <c r="AE173" s="365"/>
      <c r="AF173" s="194"/>
      <c r="AG173" s="194"/>
      <c r="AH173" s="365"/>
      <c r="AI173" s="365"/>
      <c r="AJ173" s="365"/>
      <c r="AK173" s="365"/>
      <c r="AL173" s="365"/>
      <c r="AM173" s="365"/>
      <c r="AN173" s="365"/>
      <c r="AO173" s="365"/>
      <c r="AP173" s="365"/>
      <c r="AQ173" s="194"/>
      <c r="AR173" s="194"/>
      <c r="AS173" s="194"/>
      <c r="AT173" s="194"/>
      <c r="AU173" s="194"/>
      <c r="AV173" s="194"/>
      <c r="AW173" s="194"/>
      <c r="AX173" s="194"/>
      <c r="AY173" s="194"/>
      <c r="AZ173" s="194"/>
      <c r="BA173" s="194"/>
      <c r="BB173" s="194"/>
      <c r="BC173" s="194"/>
      <c r="BD173" s="365"/>
      <c r="BE173" s="365"/>
      <c r="BF173" s="365"/>
      <c r="BG173" s="365"/>
      <c r="BH173" s="365"/>
      <c r="BI173" s="365"/>
      <c r="BJ173" s="365"/>
      <c r="BK173" s="365"/>
      <c r="BL173" s="365"/>
      <c r="BM173" s="365"/>
      <c r="BN173" s="365"/>
      <c r="BO173" s="365"/>
      <c r="BP173" s="365"/>
      <c r="BT173" s="365"/>
      <c r="BU173" s="365"/>
      <c r="BW173" s="448"/>
      <c r="BX173" s="448"/>
      <c r="BY173" s="363"/>
    </row>
    <row r="174" spans="2:77" x14ac:dyDescent="0.2">
      <c r="B174" s="194"/>
      <c r="C174" s="365"/>
      <c r="D174" s="365"/>
      <c r="E174" s="365"/>
      <c r="F174" s="365"/>
      <c r="G174" s="365"/>
      <c r="H174" s="365"/>
      <c r="I174" s="365"/>
      <c r="J174" s="365"/>
      <c r="K174" s="365"/>
      <c r="L174" s="365"/>
      <c r="M174" s="365"/>
      <c r="N174" s="365"/>
      <c r="O174" s="365"/>
      <c r="P174" s="365"/>
      <c r="Q174" s="365"/>
      <c r="R174" s="365"/>
      <c r="S174" s="365"/>
      <c r="T174" s="365"/>
      <c r="U174" s="365"/>
      <c r="V174" s="365"/>
      <c r="W174" s="365"/>
      <c r="X174" s="365"/>
      <c r="Y174" s="365"/>
      <c r="Z174" s="365"/>
      <c r="AA174" s="365"/>
      <c r="AB174" s="365"/>
      <c r="AC174" s="365"/>
      <c r="AD174" s="365"/>
      <c r="AE174" s="365"/>
      <c r="AF174" s="194"/>
      <c r="AG174" s="194"/>
      <c r="AH174" s="365"/>
      <c r="AI174" s="365"/>
      <c r="AJ174" s="365"/>
      <c r="AK174" s="365"/>
      <c r="AL174" s="365"/>
      <c r="AM174" s="365"/>
      <c r="AN174" s="365"/>
      <c r="AO174" s="365"/>
      <c r="AP174" s="365"/>
      <c r="AQ174" s="194"/>
      <c r="AR174" s="194"/>
      <c r="AS174" s="194"/>
      <c r="AT174" s="194"/>
      <c r="AU174" s="194"/>
      <c r="AV174" s="194"/>
      <c r="AW174" s="194"/>
      <c r="AX174" s="194"/>
      <c r="AY174" s="194"/>
      <c r="AZ174" s="194"/>
      <c r="BA174" s="194"/>
      <c r="BB174" s="194"/>
      <c r="BC174" s="194"/>
      <c r="BD174" s="365"/>
      <c r="BE174" s="365"/>
      <c r="BF174" s="365"/>
      <c r="BG174" s="365"/>
      <c r="BH174" s="365"/>
      <c r="BI174" s="365"/>
      <c r="BJ174" s="365"/>
      <c r="BK174" s="365"/>
      <c r="BL174" s="365"/>
      <c r="BM174" s="365"/>
      <c r="BN174" s="365"/>
      <c r="BO174" s="365"/>
      <c r="BP174" s="365"/>
    </row>
    <row r="191" spans="75:77" x14ac:dyDescent="0.2">
      <c r="BW191" s="750"/>
      <c r="BX191" s="750"/>
      <c r="BY191" s="750"/>
    </row>
    <row r="192" spans="75:77" x14ac:dyDescent="0.2">
      <c r="BW192" s="750"/>
      <c r="BX192" s="750"/>
      <c r="BY192" s="750"/>
    </row>
  </sheetData>
  <sheetProtection sheet="1" selectLockedCells="1"/>
  <mergeCells count="69">
    <mergeCell ref="AG65:AQ65"/>
    <mergeCell ref="B96:BY96"/>
    <mergeCell ref="AG67:AQ67"/>
    <mergeCell ref="B2:BY2"/>
    <mergeCell ref="AG5:BY5"/>
    <mergeCell ref="AG7:BY7"/>
    <mergeCell ref="AG9:AQ9"/>
    <mergeCell ref="AG13:BY13"/>
    <mergeCell ref="AG35:AQ35"/>
    <mergeCell ref="AV35:BF35"/>
    <mergeCell ref="AG39:AQ39"/>
    <mergeCell ref="AG41:AQ41"/>
    <mergeCell ref="AV45:BF45"/>
    <mergeCell ref="AG37:AQ37"/>
    <mergeCell ref="AV37:BF37"/>
    <mergeCell ref="AV39:BF39"/>
    <mergeCell ref="AG29:AQ29"/>
    <mergeCell ref="AG31:AQ31"/>
    <mergeCell ref="AG15:BY15"/>
    <mergeCell ref="AG17:BY17"/>
    <mergeCell ref="AG19:BY19"/>
    <mergeCell ref="AG21:AQ21"/>
    <mergeCell ref="AG25:AQ25"/>
    <mergeCell ref="AG27:AQ27"/>
    <mergeCell ref="AG61:AQ61"/>
    <mergeCell ref="AV63:BF63"/>
    <mergeCell ref="AV41:BF41"/>
    <mergeCell ref="AV43:BF43"/>
    <mergeCell ref="L47:AE47"/>
    <mergeCell ref="AG49:AQ49"/>
    <mergeCell ref="L45:AD45"/>
    <mergeCell ref="AG43:AQ43"/>
    <mergeCell ref="AG45:AQ45"/>
    <mergeCell ref="AV47:BF47"/>
    <mergeCell ref="AG63:AQ63"/>
    <mergeCell ref="AV49:BF49"/>
    <mergeCell ref="AG47:AQ47"/>
    <mergeCell ref="AG53:AQ53"/>
    <mergeCell ref="AG55:AQ55"/>
    <mergeCell ref="AG57:AQ57"/>
    <mergeCell ref="BO100:BW100"/>
    <mergeCell ref="Z88:AJ88"/>
    <mergeCell ref="Z90:AJ90"/>
    <mergeCell ref="Z92:AJ92"/>
    <mergeCell ref="Z94:AJ94"/>
    <mergeCell ref="AG59:AQ59"/>
    <mergeCell ref="H138:J138"/>
    <mergeCell ref="Z104:AJ104"/>
    <mergeCell ref="BM104:BW104"/>
    <mergeCell ref="Z106:AJ106"/>
    <mergeCell ref="H110:J110"/>
    <mergeCell ref="H115:J115"/>
    <mergeCell ref="H118:J118"/>
    <mergeCell ref="BB125:BL125"/>
    <mergeCell ref="BB127:BL127"/>
    <mergeCell ref="BB130:BL130"/>
    <mergeCell ref="H134:J134"/>
    <mergeCell ref="N134:BS134"/>
    <mergeCell ref="P98:V98"/>
    <mergeCell ref="BC98:BJ98"/>
    <mergeCell ref="AB100:AJ100"/>
    <mergeCell ref="BW191:BY192"/>
    <mergeCell ref="BB146:BL146"/>
    <mergeCell ref="BB149:BL149"/>
    <mergeCell ref="H153:J153"/>
    <mergeCell ref="BB158:BL158"/>
    <mergeCell ref="BB160:BL160"/>
    <mergeCell ref="BB162:BL162"/>
    <mergeCell ref="BB165:BL165"/>
  </mergeCells>
  <conditionalFormatting sqref="BM104:BW105 BX104">
    <cfRule type="expression" dxfId="26" priority="31">
      <formula>$BM$104&gt;$BO$100</formula>
    </cfRule>
  </conditionalFormatting>
  <conditionalFormatting sqref="Z104:AJ105 AK104">
    <cfRule type="expression" dxfId="25" priority="32">
      <formula>$Z$104&gt;$AB$100</formula>
    </cfRule>
  </conditionalFormatting>
  <conditionalFormatting sqref="BB127:BL127 Z126:AJ126 Z130:AJ132">
    <cfRule type="expression" dxfId="24" priority="30">
      <formula>$BB$127&gt;$BB$125</formula>
    </cfRule>
  </conditionalFormatting>
  <conditionalFormatting sqref="BN127">
    <cfRule type="expression" dxfId="23" priority="28">
      <formula>$BB$127&gt;$BB$125</formula>
    </cfRule>
  </conditionalFormatting>
  <conditionalFormatting sqref="L130">
    <cfRule type="expression" dxfId="22" priority="26">
      <formula>$L$130="Überschreitung der Gesamtangemessenheitsgrenze"</formula>
    </cfRule>
  </conditionalFormatting>
  <conditionalFormatting sqref="N110">
    <cfRule type="expression" dxfId="21" priority="25">
      <formula>$N$110="Die Wohnung ist überbelegt i. S. d. § 2 Nr. 5a NWoSchG, da die Mindestwohn-"</formula>
    </cfRule>
  </conditionalFormatting>
  <conditionalFormatting sqref="N111">
    <cfRule type="expression" dxfId="20" priority="23">
      <formula>$N$111="fläche von 10 m² pro Person unterschritten wird."</formula>
    </cfRule>
  </conditionalFormatting>
  <conditionalFormatting sqref="N118">
    <cfRule type="expression" dxfId="19" priority="21">
      <formula>$N$118="Ergänzung:"</formula>
    </cfRule>
    <cfRule type="expression" dxfId="18" priority="22">
      <formula>$N$118="Heizkosten"</formula>
    </cfRule>
  </conditionalFormatting>
  <conditionalFormatting sqref="W118">
    <cfRule type="expression" dxfId="17" priority="20">
      <formula>$W$118="sind unangemessen. In Bestandsfällen: Prüfung der Gesamt-"</formula>
    </cfRule>
  </conditionalFormatting>
  <conditionalFormatting sqref="N119">
    <cfRule type="expression" dxfId="16" priority="19">
      <formula>$N$119="angemesse"</formula>
    </cfRule>
  </conditionalFormatting>
  <conditionalFormatting sqref="W119">
    <cfRule type="expression" dxfId="15" priority="18">
      <formula>$W$119="nheitsgrenze, wenn die KdU angemessen sind."</formula>
    </cfRule>
  </conditionalFormatting>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47" id="{130310C5-F29A-40EB-A66D-132A4FB733B5}">
            <xm:f>Daten!K79&gt;0</xm:f>
            <x14:dxf>
              <border>
                <bottom style="thin">
                  <color auto="1"/>
                </bottom>
                <vertical/>
                <horizontal/>
              </border>
            </x14:dxf>
          </x14:cfRule>
          <xm:sqref>AV35:BF35</xm:sqref>
        </x14:conditionalFormatting>
        <x14:conditionalFormatting xmlns:xm="http://schemas.microsoft.com/office/excel/2006/main">
          <x14:cfRule type="expression" priority="148" id="{8C263723-71A2-4F20-AD7A-3B88D08684F4}">
            <xm:f>Daten!K79&gt;0</xm:f>
            <x14:dxf>
              <border>
                <bottom style="thin">
                  <color auto="1"/>
                </bottom>
                <vertical/>
                <horizontal/>
              </border>
            </x14:dxf>
          </x14:cfRule>
          <xm:sqref>AV37:BF37</xm:sqref>
        </x14:conditionalFormatting>
        <x14:conditionalFormatting xmlns:xm="http://schemas.microsoft.com/office/excel/2006/main">
          <x14:cfRule type="expression" priority="149" id="{A4959E13-CD0F-4A6F-B0CD-4D17A3F055D0}">
            <xm:f>Daten!K79&gt;0</xm:f>
            <x14:dxf>
              <border>
                <bottom style="thin">
                  <color auto="1"/>
                </bottom>
                <vertical/>
                <horizontal/>
              </border>
            </x14:dxf>
          </x14:cfRule>
          <xm:sqref>AV39:BF39</xm:sqref>
        </x14:conditionalFormatting>
        <x14:conditionalFormatting xmlns:xm="http://schemas.microsoft.com/office/excel/2006/main">
          <x14:cfRule type="expression" priority="150" id="{9021927D-B838-4A26-8504-463AC14C1415}">
            <xm:f>Daten!K79&gt;0</xm:f>
            <x14:dxf>
              <border>
                <bottom style="thin">
                  <color auto="1"/>
                </bottom>
                <vertical/>
                <horizontal/>
              </border>
            </x14:dxf>
          </x14:cfRule>
          <xm:sqref>AV49:BF49</xm:sqref>
        </x14:conditionalFormatting>
        <x14:conditionalFormatting xmlns:xm="http://schemas.microsoft.com/office/excel/2006/main">
          <x14:cfRule type="expression" priority="151" id="{FC727787-2173-4F6F-BA7D-7FA18E7FBE43}">
            <xm:f>Daten!K79&gt;0</xm:f>
            <x14:dxf>
              <border>
                <bottom style="thin">
                  <color auto="1"/>
                </bottom>
                <vertical/>
                <horizontal/>
              </border>
            </x14:dxf>
          </x14:cfRule>
          <xm:sqref>AV63:BF63</xm:sqref>
        </x14:conditionalFormatting>
        <x14:conditionalFormatting xmlns:xm="http://schemas.microsoft.com/office/excel/2006/main">
          <x14:cfRule type="expression" priority="36" id="{504C66F4-7649-4309-8FA8-24AE0C636478}">
            <xm:f>Daten!K79&gt;0</xm:f>
            <x14:dxf>
              <border>
                <bottom style="thin">
                  <color auto="1"/>
                </bottom>
                <vertical/>
                <horizontal/>
              </border>
            </x14:dxf>
          </x14:cfRule>
          <xm:sqref>AV41:BF41</xm:sqref>
        </x14:conditionalFormatting>
        <x14:conditionalFormatting xmlns:xm="http://schemas.microsoft.com/office/excel/2006/main">
          <x14:cfRule type="expression" priority="35" id="{77A94BD1-46C9-4666-AD56-6FEB717B6C52}">
            <xm:f>Daten!K79&gt;0</xm:f>
            <x14:dxf>
              <border>
                <bottom style="thin">
                  <color auto="1"/>
                </bottom>
                <vertical/>
                <horizontal/>
              </border>
            </x14:dxf>
          </x14:cfRule>
          <xm:sqref>AV43:BF43</xm:sqref>
        </x14:conditionalFormatting>
        <x14:conditionalFormatting xmlns:xm="http://schemas.microsoft.com/office/excel/2006/main">
          <x14:cfRule type="expression" priority="34" id="{FE497C7B-AE2B-4509-BBC5-FAFC2AA19A4B}">
            <xm:f>Daten!K79&gt;0</xm:f>
            <x14:dxf>
              <border>
                <bottom style="thin">
                  <color auto="1"/>
                </bottom>
                <vertical/>
                <horizontal/>
              </border>
            </x14:dxf>
          </x14:cfRule>
          <xm:sqref>AV45:BF45</xm:sqref>
        </x14:conditionalFormatting>
        <x14:conditionalFormatting xmlns:xm="http://schemas.microsoft.com/office/excel/2006/main">
          <x14:cfRule type="expression" priority="33" id="{AFA3D2C4-0F63-4082-B783-4E4FE0E1044C}">
            <xm:f>Daten!K79&gt;0</xm:f>
            <x14:dxf>
              <border>
                <bottom style="thin">
                  <color auto="1"/>
                </bottom>
                <vertical/>
                <horizontal/>
              </border>
            </x14:dxf>
          </x14:cfRule>
          <xm:sqref>AV47:BF47</xm:sqref>
        </x14:conditionalFormatting>
        <x14:conditionalFormatting xmlns:xm="http://schemas.microsoft.com/office/excel/2006/main">
          <x14:cfRule type="expression" priority="16" id="{4F638FC0-6947-4A25-A794-82F92048AECA}">
            <xm:f>Daten!$E$528=0</xm:f>
            <x14:dxf>
              <font>
                <color theme="9" tint="-0.24994659260841701"/>
              </font>
            </x14:dxf>
          </x14:cfRule>
          <xm:sqref>L130</xm:sqref>
        </x14:conditionalFormatting>
        <x14:conditionalFormatting xmlns:xm="http://schemas.microsoft.com/office/excel/2006/main">
          <x14:cfRule type="expression" priority="15" id="{62711EAD-54C8-4DF1-AEF9-8B1C778442EA}">
            <xm:f>Daten!$E$528=0</xm:f>
            <x14:dxf>
              <font>
                <color theme="9" tint="-0.24994659260841701"/>
              </font>
            </x14:dxf>
          </x14:cfRule>
          <x14:cfRule type="expression" priority="29" id="{3E50CECE-FB5B-477E-AF73-CAE093B1B5D9}">
            <xm:f>Daten!$E$528=1</xm:f>
            <x14:dxf>
              <font>
                <color rgb="FFFF0000"/>
              </font>
            </x14:dxf>
          </x14:cfRule>
          <xm:sqref>BB130:BL130</xm:sqref>
        </x14:conditionalFormatting>
        <x14:conditionalFormatting xmlns:xm="http://schemas.microsoft.com/office/excel/2006/main">
          <x14:cfRule type="expression" priority="14" id="{99557141-5D19-4931-8A7D-82263BFA93CE}">
            <xm:f>Daten!$E$528=0</xm:f>
            <x14:dxf>
              <font>
                <color theme="9" tint="-0.24994659260841701"/>
              </font>
            </x14:dxf>
          </x14:cfRule>
          <x14:cfRule type="expression" priority="27" id="{0F715EF2-041A-4EA4-9CBB-723FB447BB8F}">
            <xm:f>Daten!$E$528=1</xm:f>
            <x14:dxf>
              <font>
                <color rgb="FFFF0000"/>
              </font>
            </x14:dxf>
          </x14:cfRule>
          <xm:sqref>BN130</xm:sqref>
        </x14:conditionalFormatting>
        <x14:conditionalFormatting xmlns:xm="http://schemas.microsoft.com/office/excel/2006/main">
          <x14:cfRule type="expression" priority="17" id="{6BA0B4CA-9895-4944-80F9-EBF4EBB3C4D7}">
            <xm:f>Daten!$C$356=1</xm:f>
            <x14:dxf>
              <fill>
                <patternFill>
                  <bgColor theme="0"/>
                </patternFill>
              </fill>
              <border>
                <left style="thin">
                  <color auto="1"/>
                </left>
                <right style="thin">
                  <color auto="1"/>
                </right>
                <top style="thin">
                  <color auto="1"/>
                </top>
                <bottom style="thin">
                  <color auto="1"/>
                </bottom>
                <vertical/>
                <horizontal/>
              </border>
            </x14:dxf>
          </x14:cfRule>
          <xm:sqref>H118:J118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tabColor rgb="FFFF4343"/>
  </sheetPr>
  <dimension ref="A1:AS682"/>
  <sheetViews>
    <sheetView zoomScale="130" zoomScaleNormal="130" workbookViewId="0">
      <selection activeCell="A23" sqref="A23:XFD682"/>
    </sheetView>
  </sheetViews>
  <sheetFormatPr baseColWidth="10" defaultColWidth="11.42578125" defaultRowHeight="15" x14ac:dyDescent="0.25"/>
  <cols>
    <col min="1" max="1" width="11.42578125" style="3" customWidth="1"/>
    <col min="2" max="2" width="14" style="3" customWidth="1"/>
    <col min="3" max="4" width="11.42578125" style="3"/>
    <col min="5" max="5" width="13.42578125" style="3" customWidth="1"/>
    <col min="6" max="15" width="11.42578125" style="3"/>
    <col min="16" max="16" width="14.7109375" style="3" customWidth="1"/>
    <col min="17" max="27" width="11.42578125" style="3"/>
    <col min="28" max="28" width="12.42578125" style="3" customWidth="1"/>
    <col min="29" max="32" width="11.42578125" style="3"/>
    <col min="33" max="33" width="16" style="3" customWidth="1"/>
    <col min="34" max="34" width="39.140625" style="3" customWidth="1"/>
    <col min="35" max="35" width="20.42578125" style="3" customWidth="1"/>
    <col min="36" max="16384" width="11.42578125" style="3"/>
  </cols>
  <sheetData>
    <row r="1" spans="1:20" ht="21" x14ac:dyDescent="0.35">
      <c r="A1" s="52" t="s">
        <v>1049</v>
      </c>
      <c r="B1" s="41"/>
      <c r="C1" s="41"/>
      <c r="D1" s="41"/>
      <c r="E1" s="41"/>
      <c r="F1" s="41"/>
      <c r="G1" s="41"/>
      <c r="H1" s="41"/>
      <c r="I1" s="41"/>
      <c r="J1" s="41"/>
      <c r="K1" s="41"/>
      <c r="L1" s="41"/>
      <c r="M1" s="41"/>
      <c r="N1" s="41"/>
      <c r="O1" s="41"/>
      <c r="P1" s="41"/>
      <c r="Q1" s="41"/>
      <c r="R1" s="41"/>
      <c r="S1" s="41"/>
      <c r="T1" s="41"/>
    </row>
    <row r="2" spans="1:20" hidden="1" x14ac:dyDescent="0.25"/>
    <row r="3" spans="1:20" ht="18.75" hidden="1" x14ac:dyDescent="0.3">
      <c r="A3" s="34" t="s">
        <v>335</v>
      </c>
      <c r="B3" s="33"/>
      <c r="C3" s="33"/>
      <c r="D3" s="33"/>
      <c r="E3" s="33"/>
      <c r="F3" s="33"/>
      <c r="G3" s="33"/>
      <c r="H3" s="33"/>
      <c r="I3" s="33"/>
      <c r="J3" s="33"/>
      <c r="K3" s="33"/>
      <c r="L3" s="33"/>
      <c r="M3" s="33"/>
      <c r="N3" s="33"/>
      <c r="O3" s="33"/>
      <c r="P3" s="33"/>
      <c r="Q3" s="33"/>
      <c r="R3" s="33"/>
      <c r="S3" s="33"/>
      <c r="T3" s="33"/>
    </row>
    <row r="4" spans="1:20" hidden="1" x14ac:dyDescent="0.25"/>
    <row r="5" spans="1:20" hidden="1" x14ac:dyDescent="0.25">
      <c r="A5" s="1">
        <v>1</v>
      </c>
      <c r="B5" s="1" t="s">
        <v>906</v>
      </c>
      <c r="C5" s="1" t="s">
        <v>349</v>
      </c>
    </row>
    <row r="6" spans="1:20" hidden="1" x14ac:dyDescent="0.25">
      <c r="A6" s="1">
        <v>2</v>
      </c>
      <c r="B6" s="1" t="s">
        <v>368</v>
      </c>
      <c r="C6" s="1" t="s">
        <v>350</v>
      </c>
    </row>
    <row r="7" spans="1:20" hidden="1" x14ac:dyDescent="0.25">
      <c r="A7" s="1">
        <v>3</v>
      </c>
      <c r="B7" s="1" t="s">
        <v>358</v>
      </c>
      <c r="C7" s="1" t="s">
        <v>351</v>
      </c>
    </row>
    <row r="8" spans="1:20" hidden="1" x14ac:dyDescent="0.25">
      <c r="A8" s="2">
        <v>4</v>
      </c>
      <c r="B8" s="1" t="s">
        <v>359</v>
      </c>
      <c r="C8" s="1" t="s">
        <v>352</v>
      </c>
    </row>
    <row r="9" spans="1:20" hidden="1" x14ac:dyDescent="0.25">
      <c r="A9" s="1">
        <v>5</v>
      </c>
      <c r="B9" s="2" t="s">
        <v>360</v>
      </c>
      <c r="C9" s="2" t="s">
        <v>353</v>
      </c>
    </row>
    <row r="10" spans="1:20" hidden="1" x14ac:dyDescent="0.25">
      <c r="A10" s="2">
        <v>6</v>
      </c>
      <c r="B10" s="2" t="s">
        <v>361</v>
      </c>
      <c r="C10" s="2" t="s">
        <v>354</v>
      </c>
    </row>
    <row r="11" spans="1:20" hidden="1" x14ac:dyDescent="0.25"/>
    <row r="12" spans="1:20" ht="18.75" hidden="1" x14ac:dyDescent="0.3">
      <c r="A12" s="34" t="s">
        <v>342</v>
      </c>
      <c r="B12" s="33"/>
      <c r="C12" s="33"/>
      <c r="D12" s="33"/>
      <c r="E12" s="33"/>
      <c r="F12" s="33"/>
      <c r="G12" s="33" t="s">
        <v>1350</v>
      </c>
      <c r="H12" s="33"/>
      <c r="I12" s="33"/>
      <c r="J12" s="33"/>
      <c r="K12" s="33"/>
      <c r="L12" s="33"/>
      <c r="M12" s="33"/>
      <c r="N12" s="33"/>
      <c r="O12" s="33"/>
      <c r="P12" s="33"/>
      <c r="Q12" s="33"/>
      <c r="R12" s="33"/>
      <c r="S12" s="33"/>
      <c r="T12" s="33"/>
    </row>
    <row r="13" spans="1:20" hidden="1" x14ac:dyDescent="0.25">
      <c r="L13" s="535" t="s">
        <v>28</v>
      </c>
      <c r="M13" s="1"/>
      <c r="N13" s="1"/>
      <c r="O13" s="21"/>
      <c r="P13" s="536" t="s">
        <v>202</v>
      </c>
    </row>
    <row r="14" spans="1:20" hidden="1" x14ac:dyDescent="0.25">
      <c r="A14" s="3" t="s">
        <v>347</v>
      </c>
      <c r="B14" s="4">
        <f>IF(C20=171,171,IF(C21=172,172,IF(SUBTOTAL(9,Ortsauswahl!$A$5:$A$174)=14535,0,SUBTOTAL(9,Ortsauswahl!$A$5:$A$174))))</f>
        <v>0</v>
      </c>
      <c r="G14" s="3" t="s">
        <v>1351</v>
      </c>
      <c r="J14" s="3">
        <f>IF(OR(B14=17,B14=104),1,0)</f>
        <v>0</v>
      </c>
      <c r="L14" s="19" t="s">
        <v>1354</v>
      </c>
      <c r="M14" s="1"/>
      <c r="N14" s="1"/>
      <c r="O14" s="21">
        <f>IF(Ortsauswahl!C184=0,1,0)</f>
        <v>1</v>
      </c>
      <c r="P14" s="19" t="s">
        <v>1354</v>
      </c>
      <c r="S14" s="3">
        <f>IF(Ortsauswahl!C185="",1,0)</f>
        <v>1</v>
      </c>
    </row>
    <row r="15" spans="1:20" hidden="1" x14ac:dyDescent="0.25">
      <c r="A15" s="3" t="s">
        <v>346</v>
      </c>
      <c r="B15" s="4" t="str">
        <f>IF(B14=171,Mietstufenzuordnung!B175,IF(Daten!B14=172,Mietstufenzuordnung!B176,IF(Daten!B14&lt;&gt;0,VLOOKUP(B14,Ortsauswahl!$A$5:$I$174,2,FALSE),"")))</f>
        <v/>
      </c>
      <c r="G15" s="3" t="s">
        <v>28</v>
      </c>
      <c r="J15" s="3">
        <f>IF(SUBTOTAL(9,Ortsauswahl!$A$5:$A$174)=14535,0,IF(SUBTOTAL(9,Ortsauswahl!$A$5:$A$174)=17,1,0))</f>
        <v>0</v>
      </c>
      <c r="L15" s="19" t="s">
        <v>1356</v>
      </c>
      <c r="M15" s="1"/>
      <c r="N15" s="1"/>
      <c r="O15" s="21">
        <f>IF(AND(J15=1,O14=0),VLOOKUP(Ortsauswahl!C184,'Straßen Bovenden (Ort)'!A3:B102,2,FALSE),0)</f>
        <v>0</v>
      </c>
      <c r="P15" s="19" t="s">
        <v>1357</v>
      </c>
      <c r="S15" s="3">
        <f>IF(AND(J16=1,S14=0),VLOOKUP(Ortsauswahl!C185,'Straßen Rosdorf (Ort)'!A3:B77,2,FALSE),0)</f>
        <v>0</v>
      </c>
    </row>
    <row r="16" spans="1:20" hidden="1" x14ac:dyDescent="0.25">
      <c r="A16" s="3" t="s">
        <v>344</v>
      </c>
      <c r="B16" s="4" t="str">
        <f>IF(B14=0,"",IF(B14=171,Mietstufenzuordnung!L175,IF(Daten!B14=172,Mietstufenzuordnung!L176,VLOOKUP(B14,Ortsauswahl!A5:I174,5,FALSE))))</f>
        <v/>
      </c>
      <c r="G16" s="3" t="s">
        <v>202</v>
      </c>
      <c r="J16" s="3">
        <f>IF(SUBTOTAL(9,Ortsauswahl!$A$5:$A$174)=14535,0,IF(SUBTOTAL(9,Ortsauswahl!$A$5:$A$174)=104,1,0))</f>
        <v>0</v>
      </c>
      <c r="L16" s="19" t="s">
        <v>1358</v>
      </c>
      <c r="M16" s="1"/>
      <c r="N16" s="1"/>
      <c r="O16" s="21">
        <f>IF(O15=2,1,0)</f>
        <v>0</v>
      </c>
      <c r="P16" s="19" t="s">
        <v>1358</v>
      </c>
      <c r="S16" s="3">
        <f>IF(S15=2,1,0)</f>
        <v>0</v>
      </c>
    </row>
    <row r="17" spans="1:20" hidden="1" x14ac:dyDescent="0.25">
      <c r="A17" s="3" t="s">
        <v>345</v>
      </c>
      <c r="B17" s="3" t="str">
        <f>IF(B14=0,"",IF(OR(B14=171,B14=172),B5,VLOOKUP(B14,Ortsauswahl!$A$5:$I$174,7,FALSE)))</f>
        <v/>
      </c>
    </row>
    <row r="18" spans="1:20" hidden="1" x14ac:dyDescent="0.25">
      <c r="A18" s="3" t="s">
        <v>348</v>
      </c>
      <c r="B18" s="3" t="str">
        <f>IF(B14=0,"",IF(OR(B14=171,B14=172),C5,VLOOKUP(B14,Ortsauswahl!$A$5:$I$174,8,FALSE)))</f>
        <v/>
      </c>
    </row>
    <row r="19" spans="1:20" hidden="1" x14ac:dyDescent="0.25">
      <c r="A19" s="3" t="s">
        <v>356</v>
      </c>
      <c r="B19" s="3" t="str">
        <f>IF(B14=0,"",IF(B14=171,Mietstufenzuordnung!C175,IF(Daten!B14=172,Mietstufenzuordnung!C176,VLOOKUP(B14,Ortsauswahl!$A$5:$I$174,3,FALSE))))</f>
        <v/>
      </c>
      <c r="G19" s="3" t="s">
        <v>1352</v>
      </c>
    </row>
    <row r="20" spans="1:20" hidden="1" x14ac:dyDescent="0.25">
      <c r="A20" s="3" t="s">
        <v>1360</v>
      </c>
      <c r="C20" s="3">
        <f>IF(AND(J15=1,O15=2),171,0)</f>
        <v>0</v>
      </c>
      <c r="G20" s="3" t="s">
        <v>1353</v>
      </c>
      <c r="L20" s="3" t="s">
        <v>1368</v>
      </c>
      <c r="M20" s="3" t="str">
        <f>IF(O20=0,"",O20)</f>
        <v/>
      </c>
      <c r="O20" s="541" t="str">
        <f>IF(Ortsauswahl!C182&lt;&gt;"",Ortsauswahl!C182,IF(Daten!O15=1,Ortsauswahl!C184,IF(Daten!S15=1,Ortsauswahl!C185,IF(OR(Daten!O15=2,Daten!S15=2),Ortsauswahl!C187,""))))</f>
        <v/>
      </c>
    </row>
    <row r="21" spans="1:20" hidden="1" x14ac:dyDescent="0.25">
      <c r="A21" s="3" t="s">
        <v>1361</v>
      </c>
      <c r="C21" s="3">
        <f>IF(AND(J16=1,S15=2),172,0)</f>
        <v>0</v>
      </c>
    </row>
    <row r="22" spans="1:20" ht="30.6" customHeight="1" x14ac:dyDescent="0.35">
      <c r="A22" s="52" t="s">
        <v>1050</v>
      </c>
      <c r="B22" s="41"/>
      <c r="C22" s="41"/>
      <c r="D22" s="41"/>
      <c r="E22" s="41"/>
      <c r="F22" s="41"/>
      <c r="G22" s="41"/>
      <c r="H22" s="41"/>
      <c r="I22" s="41"/>
      <c r="J22" s="41"/>
      <c r="K22" s="41"/>
      <c r="L22" s="41"/>
      <c r="M22" s="41"/>
      <c r="N22" s="41"/>
      <c r="O22" s="41"/>
      <c r="P22" s="41"/>
      <c r="Q22" s="41"/>
      <c r="R22" s="41"/>
      <c r="S22" s="41"/>
      <c r="T22" s="41"/>
    </row>
    <row r="23" spans="1:20" hidden="1" x14ac:dyDescent="0.25"/>
    <row r="24" spans="1:20" ht="18.75" hidden="1" x14ac:dyDescent="0.3">
      <c r="A24" s="32" t="s">
        <v>372</v>
      </c>
      <c r="B24" s="29"/>
      <c r="C24" s="29"/>
      <c r="D24" s="29"/>
      <c r="E24" s="29"/>
      <c r="F24" s="29"/>
      <c r="G24" s="29"/>
      <c r="H24" s="33"/>
      <c r="I24" s="33"/>
      <c r="J24" s="33"/>
      <c r="K24" s="33"/>
      <c r="L24" s="33"/>
      <c r="M24" s="33"/>
      <c r="N24" s="33"/>
      <c r="O24" s="33"/>
      <c r="P24" s="33"/>
      <c r="Q24" s="33"/>
      <c r="R24" s="33"/>
      <c r="S24" s="33"/>
      <c r="T24" s="33"/>
    </row>
    <row r="25" spans="1:20" hidden="1" x14ac:dyDescent="0.25">
      <c r="A25" s="2"/>
      <c r="B25" s="2"/>
      <c r="C25" s="2"/>
      <c r="D25" s="2"/>
      <c r="E25" s="2"/>
      <c r="F25" s="2"/>
      <c r="G25" s="1"/>
    </row>
    <row r="26" spans="1:20" hidden="1" x14ac:dyDescent="0.25">
      <c r="A26" s="62" t="s">
        <v>444</v>
      </c>
      <c r="B26" s="61"/>
      <c r="C26" s="61"/>
      <c r="D26" s="61"/>
      <c r="E26" s="61"/>
      <c r="F26" s="61"/>
      <c r="G26" s="61"/>
      <c r="H26" s="35"/>
      <c r="I26" s="35"/>
      <c r="J26" s="35"/>
      <c r="K26" s="35"/>
      <c r="L26" s="35"/>
      <c r="M26" s="35"/>
      <c r="N26" s="35"/>
      <c r="O26" s="35"/>
      <c r="P26" s="35"/>
      <c r="Q26" s="35"/>
      <c r="R26" s="35"/>
      <c r="S26" s="35"/>
      <c r="T26" s="35"/>
    </row>
    <row r="27" spans="1:20" hidden="1" x14ac:dyDescent="0.25">
      <c r="A27" s="2"/>
      <c r="B27" s="2"/>
      <c r="C27" s="2"/>
      <c r="D27" s="2"/>
      <c r="E27" s="2"/>
      <c r="F27" s="2"/>
      <c r="G27" s="1"/>
    </row>
    <row r="28" spans="1:20" hidden="1" x14ac:dyDescent="0.25">
      <c r="A28" s="9" t="s">
        <v>381</v>
      </c>
      <c r="B28" s="10"/>
      <c r="C28" s="10" t="s">
        <v>385</v>
      </c>
      <c r="D28" s="10"/>
      <c r="E28" s="10"/>
      <c r="F28" s="11"/>
      <c r="G28" s="1"/>
      <c r="H28" s="25" t="s">
        <v>391</v>
      </c>
      <c r="I28" s="26"/>
      <c r="J28" s="26" t="s">
        <v>471</v>
      </c>
      <c r="K28" s="24"/>
      <c r="M28" s="64">
        <v>43770</v>
      </c>
    </row>
    <row r="29" spans="1:20" hidden="1" x14ac:dyDescent="0.25">
      <c r="A29" s="19"/>
      <c r="B29" s="2"/>
      <c r="C29" s="2" t="s">
        <v>386</v>
      </c>
      <c r="D29" s="2"/>
      <c r="E29" s="2"/>
      <c r="F29" s="13"/>
      <c r="G29" s="1"/>
      <c r="H29" s="19"/>
      <c r="I29" s="1"/>
      <c r="J29" s="1" t="s">
        <v>392</v>
      </c>
      <c r="K29" s="21"/>
    </row>
    <row r="30" spans="1:20" hidden="1" x14ac:dyDescent="0.25">
      <c r="A30" s="12"/>
      <c r="B30" s="2"/>
      <c r="C30" s="2" t="s">
        <v>382</v>
      </c>
      <c r="D30" s="2"/>
      <c r="E30" s="2"/>
      <c r="F30" s="13"/>
      <c r="G30" s="1"/>
      <c r="H30" s="19"/>
      <c r="I30" s="1"/>
      <c r="J30" s="1" t="s">
        <v>393</v>
      </c>
      <c r="K30" s="21"/>
    </row>
    <row r="31" spans="1:20" hidden="1" x14ac:dyDescent="0.25">
      <c r="A31" s="20"/>
      <c r="B31" s="14"/>
      <c r="C31" s="14" t="s">
        <v>383</v>
      </c>
      <c r="D31" s="14"/>
      <c r="E31" s="14"/>
      <c r="F31" s="15"/>
      <c r="G31" s="1"/>
      <c r="H31" s="20"/>
      <c r="I31" s="22"/>
      <c r="J31" s="22" t="s">
        <v>394</v>
      </c>
      <c r="K31" s="23"/>
    </row>
    <row r="32" spans="1:20" hidden="1" x14ac:dyDescent="0.25">
      <c r="A32" s="2"/>
      <c r="B32" s="2"/>
      <c r="C32" s="2"/>
      <c r="D32" s="2"/>
      <c r="E32" s="2"/>
      <c r="F32" s="2"/>
      <c r="G32" s="1"/>
      <c r="H32" s="3">
        <v>0</v>
      </c>
    </row>
    <row r="33" spans="1:34" hidden="1" x14ac:dyDescent="0.25">
      <c r="A33" s="9" t="s">
        <v>374</v>
      </c>
      <c r="B33" s="10"/>
      <c r="C33" s="10" t="s">
        <v>375</v>
      </c>
      <c r="D33" s="10"/>
      <c r="E33" s="16"/>
      <c r="F33" s="17"/>
      <c r="G33" s="1"/>
      <c r="H33" s="3">
        <v>10</v>
      </c>
    </row>
    <row r="34" spans="1:34" hidden="1" x14ac:dyDescent="0.25">
      <c r="A34" s="12"/>
      <c r="B34" s="2"/>
      <c r="C34" s="2" t="s">
        <v>376</v>
      </c>
      <c r="D34" s="2"/>
      <c r="E34" s="2"/>
      <c r="F34" s="13"/>
      <c r="G34" s="1"/>
      <c r="H34" s="3">
        <v>20</v>
      </c>
    </row>
    <row r="35" spans="1:34" hidden="1" x14ac:dyDescent="0.25">
      <c r="A35" s="18"/>
      <c r="B35" s="14"/>
      <c r="C35" s="14" t="s">
        <v>384</v>
      </c>
      <c r="D35" s="14"/>
      <c r="E35" s="14"/>
      <c r="F35" s="15"/>
      <c r="G35" s="1"/>
      <c r="H35" s="3">
        <v>30</v>
      </c>
      <c r="AA35" s="1"/>
      <c r="AB35" s="1"/>
      <c r="AC35" s="1"/>
      <c r="AH35" s="4"/>
    </row>
    <row r="36" spans="1:34" hidden="1" x14ac:dyDescent="0.25">
      <c r="A36" s="2"/>
      <c r="B36" s="2"/>
      <c r="C36" s="2"/>
      <c r="D36" s="2"/>
      <c r="E36" s="2"/>
      <c r="F36" s="2"/>
      <c r="G36" s="1"/>
      <c r="AA36" s="1"/>
      <c r="AB36" s="1"/>
      <c r="AC36" s="1"/>
      <c r="AH36" s="4"/>
    </row>
    <row r="37" spans="1:34" hidden="1" x14ac:dyDescent="0.25">
      <c r="A37" s="9"/>
      <c r="B37" s="10"/>
      <c r="C37" s="10" t="s">
        <v>377</v>
      </c>
      <c r="D37" s="10"/>
      <c r="E37" s="16"/>
      <c r="F37" s="17"/>
      <c r="G37" s="1"/>
      <c r="H37" s="8" t="s">
        <v>378</v>
      </c>
      <c r="I37" s="8"/>
      <c r="J37" s="8" t="s">
        <v>1172</v>
      </c>
      <c r="K37" s="8"/>
      <c r="L37" s="8"/>
      <c r="M37" s="8"/>
      <c r="N37" s="7"/>
      <c r="O37" s="7"/>
      <c r="P37" s="7"/>
      <c r="Q37" s="7"/>
      <c r="R37" s="7"/>
      <c r="S37" s="7"/>
      <c r="T37" s="7"/>
      <c r="U37" s="7"/>
      <c r="V37" s="7"/>
      <c r="W37" s="7"/>
    </row>
    <row r="38" spans="1:34" hidden="1" x14ac:dyDescent="0.25">
      <c r="A38" s="12"/>
      <c r="B38" s="2"/>
      <c r="C38" s="2" t="s">
        <v>378</v>
      </c>
      <c r="D38" s="2"/>
      <c r="E38" s="2"/>
      <c r="F38" s="13"/>
      <c r="G38" s="1"/>
      <c r="H38" s="63" t="s">
        <v>913</v>
      </c>
      <c r="I38" s="63"/>
      <c r="J38" s="63" t="s">
        <v>1173</v>
      </c>
      <c r="K38" s="63"/>
      <c r="L38" s="63"/>
      <c r="M38" s="63"/>
    </row>
    <row r="39" spans="1:34" hidden="1" x14ac:dyDescent="0.25">
      <c r="A39" s="12"/>
      <c r="B39" s="2"/>
      <c r="C39" s="2" t="s">
        <v>384</v>
      </c>
      <c r="D39" s="2"/>
      <c r="E39" s="2"/>
      <c r="F39" s="13"/>
      <c r="G39" s="1"/>
      <c r="H39" s="63" t="s">
        <v>912</v>
      </c>
      <c r="I39" s="63"/>
      <c r="J39" s="63"/>
      <c r="K39" s="63"/>
      <c r="L39" s="63"/>
      <c r="M39" s="63"/>
      <c r="AA39" s="1"/>
      <c r="AB39" s="2"/>
      <c r="AC39" s="2"/>
    </row>
    <row r="40" spans="1:34" hidden="1" x14ac:dyDescent="0.25">
      <c r="A40" s="18"/>
      <c r="B40" s="14"/>
      <c r="C40" s="14"/>
      <c r="D40" s="14"/>
      <c r="E40" s="14"/>
      <c r="F40" s="15"/>
      <c r="G40" s="1"/>
      <c r="H40" s="63"/>
      <c r="I40" s="63"/>
      <c r="J40" s="63"/>
      <c r="K40" s="63"/>
      <c r="L40" s="63"/>
      <c r="M40" s="63"/>
      <c r="AA40" s="1"/>
      <c r="AB40" s="2"/>
      <c r="AC40" s="2"/>
    </row>
    <row r="41" spans="1:34" hidden="1" x14ac:dyDescent="0.25">
      <c r="A41" s="2"/>
      <c r="B41" s="2"/>
      <c r="C41" s="2"/>
      <c r="D41" s="2"/>
      <c r="E41" s="2"/>
      <c r="F41" s="2"/>
      <c r="G41" s="1"/>
      <c r="AA41" s="1"/>
      <c r="AB41" s="2"/>
      <c r="AC41" s="2"/>
    </row>
    <row r="42" spans="1:34" hidden="1" x14ac:dyDescent="0.25">
      <c r="A42" s="25"/>
      <c r="B42" s="26"/>
      <c r="C42" s="26"/>
      <c r="D42" s="26"/>
      <c r="E42" s="26"/>
      <c r="F42" s="24"/>
    </row>
    <row r="43" spans="1:34" hidden="1" x14ac:dyDescent="0.25">
      <c r="A43" s="31" t="s">
        <v>416</v>
      </c>
      <c r="B43" s="29"/>
      <c r="C43" s="29"/>
      <c r="D43" s="29"/>
      <c r="E43" s="29"/>
      <c r="F43" s="30"/>
      <c r="G43" s="33"/>
      <c r="H43" s="33"/>
      <c r="I43" s="33"/>
      <c r="J43" s="33"/>
      <c r="K43" s="33"/>
      <c r="L43" s="33"/>
      <c r="M43" s="33"/>
      <c r="N43" s="33"/>
      <c r="O43" s="33"/>
      <c r="P43" s="33"/>
      <c r="Q43" s="33"/>
      <c r="R43" s="33"/>
      <c r="S43" s="33"/>
      <c r="T43" s="33"/>
    </row>
    <row r="44" spans="1:34" s="578" customFormat="1" hidden="1" x14ac:dyDescent="0.25">
      <c r="A44" s="593"/>
      <c r="B44" s="594"/>
      <c r="C44" s="594"/>
      <c r="D44" s="594"/>
      <c r="E44" s="594"/>
      <c r="F44" s="596"/>
    </row>
    <row r="45" spans="1:34" s="578" customFormat="1" hidden="1" x14ac:dyDescent="0.25">
      <c r="A45" s="593" t="s">
        <v>387</v>
      </c>
      <c r="B45" s="594"/>
      <c r="C45" s="594"/>
      <c r="D45" s="594" t="s">
        <v>397</v>
      </c>
      <c r="E45" s="594"/>
      <c r="F45" s="596"/>
    </row>
    <row r="46" spans="1:34" s="578" customFormat="1" hidden="1" x14ac:dyDescent="0.25">
      <c r="A46" s="593"/>
      <c r="B46" s="594"/>
      <c r="C46" s="594"/>
      <c r="D46" s="594"/>
      <c r="E46" s="594"/>
      <c r="F46" s="596"/>
    </row>
    <row r="47" spans="1:34" s="578" customFormat="1" hidden="1" x14ac:dyDescent="0.25">
      <c r="A47" s="593" t="s">
        <v>367</v>
      </c>
      <c r="B47" s="594"/>
      <c r="C47" s="594"/>
      <c r="D47" s="594">
        <f>IF('KdU-Berechnung'!B10&lt;&gt;0,1,0)</f>
        <v>0</v>
      </c>
      <c r="E47" s="594"/>
      <c r="F47" s="596"/>
    </row>
    <row r="48" spans="1:34" s="578" customFormat="1" hidden="1" x14ac:dyDescent="0.25">
      <c r="A48" s="593" t="s">
        <v>364</v>
      </c>
      <c r="B48" s="594"/>
      <c r="C48" s="594"/>
      <c r="D48" s="594">
        <f>IF('KdU-Berechnung'!B14&lt;&gt;0,1,0)</f>
        <v>1</v>
      </c>
      <c r="E48" s="594"/>
      <c r="F48" s="596"/>
    </row>
    <row r="49" spans="1:45" s="578" customFormat="1" hidden="1" x14ac:dyDescent="0.25">
      <c r="A49" s="593"/>
      <c r="B49" s="594"/>
      <c r="C49" s="594"/>
      <c r="D49" s="594"/>
      <c r="E49" s="594"/>
      <c r="F49" s="596"/>
    </row>
    <row r="50" spans="1:45" s="578" customFormat="1" hidden="1" x14ac:dyDescent="0.25">
      <c r="A50" s="593" t="s">
        <v>410</v>
      </c>
      <c r="B50" s="594"/>
      <c r="C50" s="594"/>
      <c r="D50" s="594">
        <f>IF('KdU-Berechnung'!AO10&lt;&gt;0,1,0)</f>
        <v>0</v>
      </c>
      <c r="E50" s="594"/>
      <c r="F50" s="596"/>
    </row>
    <row r="51" spans="1:45" s="578" customFormat="1" hidden="1" x14ac:dyDescent="0.25">
      <c r="A51" s="593" t="s">
        <v>389</v>
      </c>
      <c r="B51" s="594"/>
      <c r="C51" s="594"/>
      <c r="D51" s="594">
        <f>IF('KdU-Berechnung'!AO14&lt;&gt;0,1,0)</f>
        <v>0</v>
      </c>
      <c r="E51" s="594"/>
      <c r="F51" s="596"/>
    </row>
    <row r="52" spans="1:45" s="578" customFormat="1" hidden="1" x14ac:dyDescent="0.25">
      <c r="A52" s="593" t="s">
        <v>369</v>
      </c>
      <c r="B52" s="594"/>
      <c r="C52" s="594"/>
      <c r="D52" s="594">
        <f>IF('KdU-Berechnung'!BJ10&gt;0,1,0)</f>
        <v>0</v>
      </c>
      <c r="E52" s="594"/>
      <c r="F52" s="596"/>
    </row>
    <row r="53" spans="1:45" s="578" customFormat="1" hidden="1" x14ac:dyDescent="0.25">
      <c r="A53" s="593" t="s">
        <v>988</v>
      </c>
      <c r="B53" s="594"/>
      <c r="C53" s="594"/>
      <c r="D53" s="594">
        <f>IF('KdU-Berechnung'!AG30&lt;&gt;"",1,0)</f>
        <v>0</v>
      </c>
      <c r="E53" s="594"/>
      <c r="F53" s="596"/>
    </row>
    <row r="54" spans="1:45" s="578" customFormat="1" hidden="1" x14ac:dyDescent="0.25">
      <c r="A54" s="593" t="s">
        <v>390</v>
      </c>
      <c r="B54" s="594"/>
      <c r="C54" s="594"/>
      <c r="D54" s="594">
        <f>IF('KdU-Berechnung'!AG24&lt;&gt;0,1,0)</f>
        <v>0</v>
      </c>
      <c r="E54" s="594"/>
      <c r="F54" s="596"/>
      <c r="AS54" s="578" t="b">
        <f>IF(AG54&gt;0,TEXT)</f>
        <v>0</v>
      </c>
    </row>
    <row r="55" spans="1:45" s="578" customFormat="1" hidden="1" x14ac:dyDescent="0.25">
      <c r="A55" s="593" t="s">
        <v>373</v>
      </c>
      <c r="B55" s="594"/>
      <c r="C55" s="594"/>
      <c r="D55" s="594">
        <f>IF('KdU-Berechnung'!AG28&lt;&gt;0,1,0)</f>
        <v>0</v>
      </c>
      <c r="E55" s="594"/>
      <c r="F55" s="596"/>
    </row>
    <row r="56" spans="1:45" s="578" customFormat="1" hidden="1" x14ac:dyDescent="0.25">
      <c r="A56" s="593" t="s">
        <v>413</v>
      </c>
      <c r="B56" s="594"/>
      <c r="C56" s="594"/>
      <c r="D56" s="594">
        <f>IF('KdU-Berechnung'!AG32&lt;&gt;"",1,0)</f>
        <v>0</v>
      </c>
      <c r="E56" s="594"/>
      <c r="F56" s="596"/>
    </row>
    <row r="57" spans="1:45" s="578" customFormat="1" hidden="1" x14ac:dyDescent="0.25">
      <c r="A57" s="593" t="s">
        <v>395</v>
      </c>
      <c r="B57" s="594"/>
      <c r="C57" s="594"/>
      <c r="D57" s="594">
        <f>IF('KdU-Berechnung'!AG38&lt;&gt;0,1,0)</f>
        <v>0</v>
      </c>
      <c r="E57" s="594"/>
      <c r="F57" s="596"/>
    </row>
    <row r="58" spans="1:45" s="578" customFormat="1" hidden="1" x14ac:dyDescent="0.25">
      <c r="A58" s="593" t="s">
        <v>414</v>
      </c>
      <c r="B58" s="594"/>
      <c r="C58" s="594"/>
      <c r="D58" s="594">
        <f>IF('KdU-Berechnung'!AG36&lt;&gt;0,1,0)</f>
        <v>0</v>
      </c>
      <c r="E58" s="594"/>
      <c r="F58" s="596"/>
    </row>
    <row r="59" spans="1:45" s="578" customFormat="1" hidden="1" x14ac:dyDescent="0.25">
      <c r="A59" s="593" t="s">
        <v>391</v>
      </c>
      <c r="B59" s="594"/>
      <c r="C59" s="594"/>
      <c r="D59" s="594">
        <f>IF('KdU-Berechnung'!AG44&lt;&gt;0,1,0)</f>
        <v>0</v>
      </c>
      <c r="E59" s="594"/>
      <c r="F59" s="596"/>
    </row>
    <row r="60" spans="1:45" s="578" customFormat="1" hidden="1" x14ac:dyDescent="0.25">
      <c r="A60" s="593" t="s">
        <v>396</v>
      </c>
      <c r="B60" s="594"/>
      <c r="C60" s="594"/>
      <c r="D60" s="594">
        <f>IF('KdU-Berechnung'!AG26&lt;&gt;0,1,0)</f>
        <v>0</v>
      </c>
      <c r="E60" s="594"/>
      <c r="F60" s="596"/>
    </row>
    <row r="61" spans="1:45" s="578" customFormat="1" hidden="1" x14ac:dyDescent="0.25">
      <c r="A61" s="593" t="s">
        <v>418</v>
      </c>
      <c r="B61" s="594"/>
      <c r="C61" s="594"/>
      <c r="D61" s="594">
        <f>IF('KdU-Berechnung'!AG70&lt;&gt;0,1,0)</f>
        <v>0</v>
      </c>
      <c r="E61" s="594"/>
      <c r="F61" s="596"/>
    </row>
    <row r="62" spans="1:45" s="578" customFormat="1" hidden="1" x14ac:dyDescent="0.25">
      <c r="A62" s="593" t="s">
        <v>417</v>
      </c>
      <c r="B62" s="594"/>
      <c r="C62" s="594"/>
      <c r="D62" s="594">
        <f>IF('KdU-Berechnung'!AG40&lt;&gt;0,1,0)</f>
        <v>0</v>
      </c>
      <c r="E62" s="594"/>
      <c r="F62" s="596"/>
    </row>
    <row r="63" spans="1:45" s="578" customFormat="1" hidden="1" x14ac:dyDescent="0.25">
      <c r="A63" s="593"/>
      <c r="B63" s="594"/>
      <c r="C63" s="594"/>
      <c r="D63" s="594"/>
      <c r="E63" s="594"/>
      <c r="F63" s="596"/>
    </row>
    <row r="64" spans="1:45" s="578" customFormat="1" hidden="1" x14ac:dyDescent="0.25">
      <c r="A64" s="593" t="s">
        <v>399</v>
      </c>
      <c r="B64" s="594"/>
      <c r="C64" s="594"/>
      <c r="D64" s="594">
        <f>IF('KdU-Berechnung'!AG46&lt;&gt;0,1,0)</f>
        <v>0</v>
      </c>
      <c r="E64" s="594"/>
      <c r="F64" s="596"/>
    </row>
    <row r="65" spans="1:20" s="578" customFormat="1" hidden="1" x14ac:dyDescent="0.25">
      <c r="A65" s="593"/>
      <c r="B65" s="594"/>
      <c r="C65" s="594"/>
      <c r="D65" s="594"/>
      <c r="E65" s="594"/>
      <c r="F65" s="596"/>
    </row>
    <row r="66" spans="1:20" s="578" customFormat="1" hidden="1" x14ac:dyDescent="0.25">
      <c r="A66" s="593"/>
      <c r="B66" s="594"/>
      <c r="C66" s="594"/>
      <c r="D66" s="594"/>
      <c r="E66" s="594"/>
      <c r="F66" s="596"/>
    </row>
    <row r="67" spans="1:20" s="578" customFormat="1" hidden="1" x14ac:dyDescent="0.25">
      <c r="A67" s="593"/>
      <c r="B67" s="594"/>
      <c r="C67" s="594"/>
      <c r="D67" s="594"/>
      <c r="E67" s="594"/>
      <c r="F67" s="596"/>
    </row>
    <row r="68" spans="1:20" s="578" customFormat="1" hidden="1" x14ac:dyDescent="0.25">
      <c r="A68" s="593" t="s">
        <v>398</v>
      </c>
      <c r="B68" s="594" t="e">
        <f>IF(AND(Daten!C356=0,Daten!E523=0),Daten!A635&amp;" "&amp;Daten!A624&amp;" ")</f>
        <v>#N/A</v>
      </c>
      <c r="C68" s="594"/>
      <c r="D68" s="594">
        <f>IF(SUM(D47:D66)=15,1,0)</f>
        <v>0</v>
      </c>
      <c r="E68" s="594"/>
      <c r="F68" s="596"/>
    </row>
    <row r="69" spans="1:20" s="578" customFormat="1" hidden="1" x14ac:dyDescent="0.25">
      <c r="A69" s="593"/>
      <c r="B69" s="594"/>
      <c r="C69" s="594"/>
      <c r="D69" s="594"/>
      <c r="E69" s="594"/>
      <c r="F69" s="596"/>
    </row>
    <row r="70" spans="1:20" s="578" customFormat="1" hidden="1" x14ac:dyDescent="0.25">
      <c r="A70" s="601"/>
      <c r="B70" s="602"/>
      <c r="C70" s="602"/>
      <c r="D70" s="602"/>
      <c r="E70" s="602"/>
      <c r="F70" s="603">
        <f>IF(D68=0,1,0)</f>
        <v>1</v>
      </c>
    </row>
    <row r="71" spans="1:20" s="578" customFormat="1" hidden="1" x14ac:dyDescent="0.25"/>
    <row r="72" spans="1:20" s="578" customFormat="1" ht="50.25" hidden="1" customHeight="1" x14ac:dyDescent="0.25">
      <c r="F72" s="579"/>
    </row>
    <row r="73" spans="1:20" ht="18.75" hidden="1" x14ac:dyDescent="0.3">
      <c r="A73" s="37" t="s">
        <v>689</v>
      </c>
      <c r="B73" s="33"/>
      <c r="C73" s="33"/>
      <c r="D73" s="33"/>
      <c r="E73" s="33"/>
      <c r="F73" s="38"/>
      <c r="G73" s="33"/>
      <c r="H73" s="33"/>
      <c r="I73" s="33"/>
      <c r="J73" s="37"/>
      <c r="K73" s="33"/>
      <c r="L73" s="33"/>
      <c r="M73" s="33"/>
      <c r="N73" s="33"/>
      <c r="O73" s="33"/>
      <c r="P73" s="33"/>
      <c r="Q73" s="33"/>
      <c r="R73" s="33"/>
      <c r="S73" s="33"/>
      <c r="T73" s="33"/>
    </row>
    <row r="74" spans="1:20" ht="35.450000000000003" hidden="1" customHeight="1" x14ac:dyDescent="0.25">
      <c r="F74" s="28"/>
    </row>
    <row r="75" spans="1:20" ht="18.75" hidden="1" x14ac:dyDescent="0.3">
      <c r="A75" s="37" t="s">
        <v>421</v>
      </c>
      <c r="B75" s="33"/>
      <c r="C75" s="33"/>
      <c r="D75" s="33"/>
      <c r="E75" s="33"/>
      <c r="F75" s="38"/>
      <c r="G75" s="33"/>
      <c r="H75" s="33"/>
      <c r="I75" s="33"/>
      <c r="J75" s="33"/>
      <c r="K75" s="33"/>
      <c r="L75" s="33"/>
      <c r="M75" s="33"/>
      <c r="N75" s="33"/>
      <c r="O75" s="33"/>
      <c r="P75" s="33"/>
      <c r="Q75" s="33"/>
      <c r="R75" s="33"/>
      <c r="S75" s="33"/>
      <c r="T75" s="33"/>
    </row>
    <row r="76" spans="1:20" hidden="1" x14ac:dyDescent="0.25">
      <c r="F76" s="28"/>
    </row>
    <row r="77" spans="1:20" hidden="1" x14ac:dyDescent="0.25">
      <c r="A77" s="27" t="s">
        <v>422</v>
      </c>
      <c r="F77" s="28"/>
    </row>
    <row r="78" spans="1:20" hidden="1" x14ac:dyDescent="0.25">
      <c r="F78" s="28"/>
    </row>
    <row r="79" spans="1:20" hidden="1" x14ac:dyDescent="0.25">
      <c r="A79" s="3" t="s">
        <v>423</v>
      </c>
      <c r="D79" s="3">
        <f>'KdU-Berechnung'!AG28</f>
        <v>0</v>
      </c>
      <c r="F79" s="28" t="s">
        <v>988</v>
      </c>
      <c r="K79" s="3">
        <f>IF('KdU-Berechnung'!AG30="",0,'KdU-Berechnung'!AG30)</f>
        <v>0</v>
      </c>
      <c r="M79" s="3" t="s">
        <v>1134</v>
      </c>
    </row>
    <row r="80" spans="1:20" hidden="1" x14ac:dyDescent="0.25">
      <c r="F80" s="3" t="s">
        <v>989</v>
      </c>
      <c r="K80" s="3">
        <f>IF(D79&lt;&gt;0,D79/(D79+K79),1)</f>
        <v>1</v>
      </c>
    </row>
    <row r="81" spans="1:19" hidden="1" x14ac:dyDescent="0.25">
      <c r="F81" s="3" t="s">
        <v>990</v>
      </c>
      <c r="P81" s="3" t="s">
        <v>1139</v>
      </c>
      <c r="Q81" s="3" t="s">
        <v>1140</v>
      </c>
      <c r="S81" s="3" t="str">
        <f>IF(Daten!K79&gt;0,"€","")</f>
        <v/>
      </c>
    </row>
    <row r="82" spans="1:19" hidden="1" x14ac:dyDescent="0.25">
      <c r="F82" s="28"/>
    </row>
    <row r="83" spans="1:19" hidden="1" x14ac:dyDescent="0.25">
      <c r="A83" s="3" t="s">
        <v>396</v>
      </c>
      <c r="D83" s="28">
        <f>'KdU-Berechnung'!AG26</f>
        <v>0</v>
      </c>
      <c r="H83" s="28">
        <f>'KdU-Berechnung'!AG26*K80</f>
        <v>0</v>
      </c>
      <c r="M83" s="3" t="s">
        <v>1135</v>
      </c>
      <c r="P83" s="28">
        <f>'KdU-Berechnung'!AG60</f>
        <v>0</v>
      </c>
      <c r="Q83" s="28">
        <f>P83*K80</f>
        <v>0</v>
      </c>
    </row>
    <row r="84" spans="1:19" hidden="1" x14ac:dyDescent="0.25">
      <c r="D84" s="28"/>
      <c r="F84" s="28"/>
      <c r="H84" s="28"/>
      <c r="Q84" s="28"/>
    </row>
    <row r="85" spans="1:19" hidden="1" x14ac:dyDescent="0.25">
      <c r="A85" s="3" t="s">
        <v>425</v>
      </c>
      <c r="D85" s="28">
        <f>'KdU-Berechnung'!AG40</f>
        <v>0</v>
      </c>
      <c r="F85" s="28"/>
      <c r="H85" s="28">
        <f>'KdU-Berechnung'!AG40*K80</f>
        <v>0</v>
      </c>
      <c r="M85" s="3" t="s">
        <v>1136</v>
      </c>
      <c r="P85" s="28">
        <f>'KdU-Berechnung'!AG62</f>
        <v>0</v>
      </c>
      <c r="Q85" s="28">
        <f>P85*K80</f>
        <v>0</v>
      </c>
    </row>
    <row r="86" spans="1:19" hidden="1" x14ac:dyDescent="0.25">
      <c r="A86" s="3" t="s">
        <v>1174</v>
      </c>
      <c r="D86" s="526" t="str">
        <f>IF('KdU-Berechnung'!AG42="11 Abschläge",11,IF('KdU-Berechnung'!AG42="12 Abschläge",12,"nicht ausgewählt"))</f>
        <v>nicht ausgewählt</v>
      </c>
      <c r="F86" s="28"/>
      <c r="H86" s="28"/>
      <c r="Q86" s="28"/>
    </row>
    <row r="87" spans="1:19" hidden="1" x14ac:dyDescent="0.25">
      <c r="A87" s="3" t="s">
        <v>864</v>
      </c>
      <c r="D87" s="28">
        <f>'KdU-Berechnung'!AG60+'KdU-Berechnung'!AG62+'KdU-Berechnung'!AG64+'KdU-Berechnung'!AG66</f>
        <v>0</v>
      </c>
      <c r="F87" s="28"/>
      <c r="H87" s="28"/>
      <c r="M87" s="3" t="s">
        <v>1138</v>
      </c>
      <c r="P87" s="28">
        <f>'KdU-Berechnung'!AG64</f>
        <v>0</v>
      </c>
      <c r="Q87" s="28">
        <f>P87*K80</f>
        <v>0</v>
      </c>
    </row>
    <row r="88" spans="1:19" hidden="1" x14ac:dyDescent="0.25">
      <c r="D88" s="28"/>
      <c r="F88" s="28"/>
      <c r="H88" s="28"/>
      <c r="Q88" s="28"/>
    </row>
    <row r="89" spans="1:19" hidden="1" x14ac:dyDescent="0.25">
      <c r="A89" s="3" t="s">
        <v>400</v>
      </c>
      <c r="D89" s="28">
        <f>D83-D85-D87</f>
        <v>0</v>
      </c>
      <c r="F89" s="28"/>
      <c r="H89" s="28">
        <f>(D83-D85-D87)*K80</f>
        <v>0</v>
      </c>
      <c r="M89" s="3" t="s">
        <v>1137</v>
      </c>
      <c r="P89" s="28">
        <f>'KdU-Berechnung'!AG66</f>
        <v>0</v>
      </c>
      <c r="Q89" s="28">
        <f>P89*K80</f>
        <v>0</v>
      </c>
    </row>
    <row r="90" spans="1:19" hidden="1" x14ac:dyDescent="0.25">
      <c r="D90" s="28"/>
      <c r="F90" s="28"/>
      <c r="H90" s="28"/>
    </row>
    <row r="91" spans="1:19" hidden="1" x14ac:dyDescent="0.25">
      <c r="A91" s="3" t="s">
        <v>424</v>
      </c>
      <c r="D91" s="28">
        <f>'KdU-Berechnung'!AG70</f>
        <v>0</v>
      </c>
      <c r="F91" s="28"/>
      <c r="H91" s="28">
        <f>'KdU-Berechnung'!AG70*K80</f>
        <v>0</v>
      </c>
    </row>
    <row r="92" spans="1:19" hidden="1" x14ac:dyDescent="0.25">
      <c r="D92" s="28"/>
      <c r="F92" s="28"/>
      <c r="H92" s="28"/>
    </row>
    <row r="93" spans="1:19" hidden="1" x14ac:dyDescent="0.25">
      <c r="A93" s="3" t="s">
        <v>865</v>
      </c>
      <c r="D93" s="28">
        <f>D89-D91</f>
        <v>0</v>
      </c>
      <c r="F93" s="28"/>
      <c r="H93" s="28">
        <f>(D89-D91)*K80</f>
        <v>0</v>
      </c>
    </row>
    <row r="94" spans="1:19" hidden="1" x14ac:dyDescent="0.25">
      <c r="D94" s="28"/>
      <c r="F94" s="28"/>
      <c r="H94" s="28"/>
    </row>
    <row r="95" spans="1:19" hidden="1" x14ac:dyDescent="0.25">
      <c r="A95" s="3" t="s">
        <v>379</v>
      </c>
      <c r="D95" s="28">
        <f>'KdU-Berechnung'!AG38</f>
        <v>0</v>
      </c>
      <c r="F95" s="28"/>
      <c r="H95" s="28"/>
    </row>
    <row r="96" spans="1:19" hidden="1" x14ac:dyDescent="0.25">
      <c r="D96" s="28"/>
      <c r="F96" s="28"/>
      <c r="H96" s="28"/>
    </row>
    <row r="97" spans="1:8" hidden="1" x14ac:dyDescent="0.25">
      <c r="A97" s="3" t="s">
        <v>426</v>
      </c>
      <c r="D97" s="28">
        <f>'KdU-Berechnung'!AG36</f>
        <v>0</v>
      </c>
      <c r="F97" s="28"/>
      <c r="H97" s="28"/>
    </row>
    <row r="98" spans="1:8" hidden="1" x14ac:dyDescent="0.25">
      <c r="F98" s="28"/>
      <c r="H98" s="28"/>
    </row>
    <row r="99" spans="1:8" hidden="1" x14ac:dyDescent="0.25">
      <c r="A99" s="3" t="s">
        <v>391</v>
      </c>
      <c r="D99" s="39">
        <f>'KdU-Berechnung'!AG44</f>
        <v>0</v>
      </c>
      <c r="F99" s="28"/>
      <c r="H99" s="28"/>
    </row>
    <row r="100" spans="1:8" hidden="1" x14ac:dyDescent="0.25">
      <c r="F100" s="28"/>
      <c r="H100" s="28"/>
    </row>
    <row r="101" spans="1:8" hidden="1" x14ac:dyDescent="0.25">
      <c r="A101" s="3" t="s">
        <v>428</v>
      </c>
      <c r="D101" s="800">
        <f>'KdU-Berechnung'!AG46</f>
        <v>0</v>
      </c>
      <c r="E101" s="800"/>
      <c r="F101" s="800"/>
      <c r="H101" s="28"/>
    </row>
    <row r="102" spans="1:8" hidden="1" x14ac:dyDescent="0.25">
      <c r="F102" s="28"/>
      <c r="H102" s="28"/>
    </row>
    <row r="103" spans="1:8" hidden="1" x14ac:dyDescent="0.25">
      <c r="A103" s="3" t="s">
        <v>915</v>
      </c>
      <c r="D103" s="39">
        <f>'KdU-Berechnung'!AG48</f>
        <v>0</v>
      </c>
      <c r="F103" s="28"/>
      <c r="H103" s="28"/>
    </row>
    <row r="104" spans="1:8" hidden="1" x14ac:dyDescent="0.25">
      <c r="D104" s="181"/>
      <c r="F104" s="28"/>
      <c r="H104" s="28"/>
    </row>
    <row r="105" spans="1:8" hidden="1" x14ac:dyDescent="0.25">
      <c r="A105" s="3" t="s">
        <v>933</v>
      </c>
      <c r="D105" s="28">
        <f>'KdU-Berechnung'!AG52</f>
        <v>0</v>
      </c>
      <c r="F105" s="28"/>
      <c r="H105" s="28">
        <f>'KdU-Berechnung'!AG52*K80</f>
        <v>0</v>
      </c>
    </row>
    <row r="106" spans="1:8" hidden="1" x14ac:dyDescent="0.25">
      <c r="D106" s="28"/>
      <c r="F106" s="28"/>
      <c r="H106" s="28"/>
    </row>
    <row r="107" spans="1:8" hidden="1" x14ac:dyDescent="0.25">
      <c r="A107" s="3" t="s">
        <v>945</v>
      </c>
      <c r="D107" s="28">
        <f>D85</f>
        <v>0</v>
      </c>
      <c r="F107" s="28"/>
      <c r="H107" s="28" t="e">
        <f>'KdU-Berechnung'!AG50*K80</f>
        <v>#VALUE!</v>
      </c>
    </row>
    <row r="108" spans="1:8" hidden="1" x14ac:dyDescent="0.25">
      <c r="F108" s="28"/>
      <c r="H108" s="28"/>
    </row>
    <row r="109" spans="1:8" hidden="1" x14ac:dyDescent="0.25">
      <c r="A109" s="3" t="s">
        <v>429</v>
      </c>
      <c r="D109" s="28">
        <f>'KdU-Berechnung'!AG56</f>
        <v>0</v>
      </c>
      <c r="F109" s="28"/>
      <c r="H109" s="28"/>
    </row>
    <row r="110" spans="1:8" hidden="1" x14ac:dyDescent="0.25">
      <c r="F110" s="28"/>
      <c r="H110" s="28"/>
    </row>
    <row r="111" spans="1:8" hidden="1" x14ac:dyDescent="0.25">
      <c r="A111" s="3" t="s">
        <v>344</v>
      </c>
      <c r="D111" s="3" t="str">
        <f>B16</f>
        <v/>
      </c>
      <c r="F111" s="28"/>
      <c r="H111" s="28"/>
    </row>
    <row r="112" spans="1:8" hidden="1" x14ac:dyDescent="0.25">
      <c r="F112" s="28"/>
      <c r="H112" s="28"/>
    </row>
    <row r="113" spans="1:20" hidden="1" x14ac:dyDescent="0.25">
      <c r="A113" s="3" t="s">
        <v>452</v>
      </c>
      <c r="D113" s="64">
        <f>'KdU-Berechnung'!AG24</f>
        <v>0</v>
      </c>
      <c r="F113" s="28"/>
      <c r="H113" s="28"/>
    </row>
    <row r="114" spans="1:20" ht="38.25" hidden="1" customHeight="1" x14ac:dyDescent="0.25">
      <c r="F114" s="28"/>
    </row>
    <row r="115" spans="1:20" ht="18.75" hidden="1" x14ac:dyDescent="0.3">
      <c r="A115" s="37" t="s">
        <v>436</v>
      </c>
      <c r="B115" s="33"/>
      <c r="C115" s="33"/>
      <c r="D115" s="33"/>
      <c r="E115" s="33"/>
      <c r="F115" s="38"/>
      <c r="G115" s="33"/>
      <c r="H115" s="398" t="s">
        <v>1100</v>
      </c>
      <c r="I115" s="33"/>
      <c r="J115" s="33"/>
      <c r="K115" s="33"/>
      <c r="L115" s="33"/>
      <c r="M115" s="33"/>
      <c r="N115" s="33"/>
      <c r="O115" s="33"/>
      <c r="P115" s="33"/>
      <c r="Q115" s="33"/>
      <c r="R115" s="33"/>
      <c r="S115" s="33"/>
      <c r="T115" s="33"/>
    </row>
    <row r="116" spans="1:20" hidden="1" x14ac:dyDescent="0.25">
      <c r="A116" s="28"/>
      <c r="F116" s="28"/>
      <c r="H116" s="19"/>
    </row>
    <row r="117" spans="1:20" ht="15" hidden="1" customHeight="1" x14ac:dyDescent="0.25">
      <c r="A117" s="48" t="s">
        <v>435</v>
      </c>
      <c r="B117" s="24"/>
      <c r="C117" s="55"/>
      <c r="D117" s="56"/>
      <c r="F117" s="28"/>
      <c r="H117" s="399"/>
      <c r="I117" s="400"/>
      <c r="J117" s="400"/>
      <c r="K117" s="400"/>
      <c r="L117" s="400"/>
      <c r="M117" s="400"/>
      <c r="N117" s="400"/>
      <c r="O117" s="400"/>
    </row>
    <row r="118" spans="1:20" hidden="1" x14ac:dyDescent="0.25">
      <c r="A118" s="49"/>
      <c r="B118" s="21"/>
      <c r="C118" s="57"/>
      <c r="D118" s="58"/>
      <c r="F118" s="28"/>
      <c r="H118" s="399"/>
      <c r="I118" s="400"/>
      <c r="J118" s="400"/>
      <c r="K118" s="400"/>
      <c r="L118" s="400"/>
      <c r="M118" s="400"/>
      <c r="N118" s="400"/>
      <c r="O118" s="400"/>
    </row>
    <row r="119" spans="1:20" hidden="1" x14ac:dyDescent="0.25">
      <c r="A119" s="44" t="s">
        <v>434</v>
      </c>
      <c r="B119" s="43" t="s">
        <v>380</v>
      </c>
      <c r="C119" s="57"/>
      <c r="D119" s="58"/>
      <c r="F119" s="28"/>
      <c r="H119" s="399"/>
      <c r="I119" s="400"/>
      <c r="J119" s="400"/>
      <c r="K119" s="400"/>
      <c r="L119" s="400"/>
      <c r="M119" s="400"/>
      <c r="N119" s="400"/>
      <c r="O119" s="400"/>
    </row>
    <row r="120" spans="1:20" hidden="1" x14ac:dyDescent="0.25">
      <c r="A120" s="53">
        <v>1</v>
      </c>
      <c r="B120" s="45">
        <v>50</v>
      </c>
      <c r="C120" s="163" t="s">
        <v>441</v>
      </c>
      <c r="D120" s="58"/>
      <c r="F120" s="28"/>
      <c r="H120" s="399"/>
      <c r="I120" s="400"/>
      <c r="J120" s="400"/>
      <c r="K120" s="400"/>
      <c r="L120" s="400"/>
      <c r="M120" s="400"/>
      <c r="N120" s="400"/>
      <c r="O120" s="400"/>
    </row>
    <row r="121" spans="1:20" ht="15" hidden="1" customHeight="1" x14ac:dyDescent="0.25">
      <c r="A121" s="54">
        <v>2</v>
      </c>
      <c r="B121" s="43">
        <v>60</v>
      </c>
      <c r="C121" s="163" t="s">
        <v>442</v>
      </c>
      <c r="D121" s="58"/>
      <c r="F121" s="28"/>
      <c r="H121" s="399"/>
      <c r="I121" s="400"/>
      <c r="J121" s="400"/>
      <c r="K121" s="400"/>
      <c r="L121" s="400"/>
      <c r="M121" s="400"/>
      <c r="N121" s="400"/>
      <c r="O121" s="400"/>
      <c r="P121" s="400"/>
      <c r="Q121" s="400"/>
      <c r="R121" s="400"/>
      <c r="S121" s="400"/>
      <c r="T121" s="400"/>
    </row>
    <row r="122" spans="1:20" hidden="1" x14ac:dyDescent="0.25">
      <c r="A122" s="53">
        <v>3</v>
      </c>
      <c r="B122" s="45">
        <v>75</v>
      </c>
      <c r="C122" s="163" t="s">
        <v>443</v>
      </c>
      <c r="D122" s="58"/>
      <c r="F122" s="28"/>
      <c r="H122" s="399"/>
      <c r="I122" s="400"/>
      <c r="J122" s="400"/>
      <c r="K122" s="400"/>
      <c r="L122" s="400"/>
      <c r="M122" s="400"/>
      <c r="N122" s="400"/>
      <c r="O122" s="400"/>
      <c r="P122" s="400"/>
      <c r="Q122" s="400"/>
      <c r="R122" s="400"/>
      <c r="S122" s="400"/>
      <c r="T122" s="400"/>
    </row>
    <row r="123" spans="1:20" hidden="1" x14ac:dyDescent="0.25">
      <c r="A123" s="54">
        <v>4</v>
      </c>
      <c r="B123" s="43">
        <v>85</v>
      </c>
      <c r="C123" s="57"/>
      <c r="D123" s="58"/>
      <c r="F123" s="28"/>
      <c r="H123" s="399"/>
      <c r="I123" s="400"/>
      <c r="J123" s="400"/>
      <c r="K123" s="400"/>
      <c r="L123" s="400"/>
      <c r="M123" s="400"/>
      <c r="N123" s="400"/>
      <c r="O123" s="400"/>
      <c r="P123" s="400"/>
      <c r="Q123" s="400"/>
      <c r="R123" s="400"/>
      <c r="S123" s="400"/>
      <c r="T123" s="400"/>
    </row>
    <row r="124" spans="1:20" hidden="1" x14ac:dyDescent="0.25">
      <c r="A124" s="53">
        <v>5</v>
      </c>
      <c r="B124" s="45">
        <v>95</v>
      </c>
      <c r="C124" s="57"/>
      <c r="D124" s="58"/>
      <c r="F124" s="28"/>
      <c r="H124" s="399"/>
      <c r="I124" s="400"/>
      <c r="J124" s="400"/>
      <c r="K124" s="400"/>
      <c r="L124" s="400"/>
      <c r="M124" s="400"/>
      <c r="N124" s="400"/>
      <c r="O124" s="400"/>
      <c r="P124" s="400"/>
      <c r="Q124" s="400"/>
      <c r="R124" s="400"/>
      <c r="S124" s="400"/>
      <c r="T124" s="400"/>
    </row>
    <row r="125" spans="1:20" hidden="1" x14ac:dyDescent="0.25">
      <c r="A125" s="54">
        <v>6</v>
      </c>
      <c r="B125" s="43">
        <v>105</v>
      </c>
      <c r="C125" s="57"/>
      <c r="D125" s="58"/>
      <c r="F125" s="28"/>
      <c r="H125" s="399"/>
      <c r="I125" s="400"/>
      <c r="J125" s="400"/>
      <c r="K125" s="400"/>
      <c r="L125" s="400"/>
      <c r="M125" s="400"/>
      <c r="N125" s="400"/>
      <c r="O125" s="400"/>
      <c r="P125" s="400"/>
      <c r="Q125" s="400"/>
      <c r="R125" s="400"/>
      <c r="S125" s="400"/>
      <c r="T125" s="400"/>
    </row>
    <row r="126" spans="1:20" hidden="1" x14ac:dyDescent="0.25">
      <c r="A126" s="53">
        <v>7</v>
      </c>
      <c r="B126" s="45">
        <v>115</v>
      </c>
      <c r="C126" s="57"/>
      <c r="D126" s="58"/>
      <c r="F126" s="28"/>
      <c r="H126" s="399"/>
      <c r="I126" s="400"/>
      <c r="J126" s="400"/>
      <c r="K126" s="400"/>
      <c r="L126" s="400"/>
      <c r="M126" s="400"/>
      <c r="N126" s="400"/>
      <c r="O126" s="400"/>
    </row>
    <row r="127" spans="1:20" hidden="1" x14ac:dyDescent="0.25">
      <c r="A127" s="54">
        <v>8</v>
      </c>
      <c r="B127" s="43">
        <v>125</v>
      </c>
      <c r="C127" s="57"/>
      <c r="D127" s="58"/>
      <c r="F127" s="28"/>
      <c r="H127" s="399"/>
      <c r="I127" s="400"/>
      <c r="J127" s="400"/>
      <c r="K127" s="400"/>
      <c r="L127" s="400"/>
      <c r="M127" s="400"/>
      <c r="N127" s="400"/>
      <c r="O127" s="400"/>
    </row>
    <row r="128" spans="1:20" hidden="1" x14ac:dyDescent="0.25">
      <c r="A128" s="53">
        <v>9</v>
      </c>
      <c r="B128" s="45">
        <v>135</v>
      </c>
      <c r="C128" s="57"/>
      <c r="D128" s="58"/>
      <c r="F128" s="28"/>
      <c r="H128" s="399"/>
      <c r="I128" s="400"/>
      <c r="J128" s="400"/>
      <c r="K128" s="400"/>
      <c r="L128" s="400"/>
      <c r="M128" s="400"/>
      <c r="N128" s="400"/>
      <c r="O128" s="400"/>
    </row>
    <row r="129" spans="1:20" hidden="1" x14ac:dyDescent="0.25">
      <c r="A129" s="54">
        <v>10</v>
      </c>
      <c r="B129" s="43">
        <v>145</v>
      </c>
      <c r="C129" s="59"/>
      <c r="D129" s="60"/>
      <c r="F129" s="28"/>
      <c r="H129" s="399"/>
      <c r="I129" s="400"/>
      <c r="J129" s="400"/>
      <c r="K129" s="400"/>
      <c r="L129" s="400"/>
      <c r="M129" s="400"/>
      <c r="N129" s="400"/>
      <c r="O129" s="400"/>
    </row>
    <row r="130" spans="1:20" hidden="1" x14ac:dyDescent="0.25">
      <c r="A130" s="28"/>
      <c r="F130" s="28"/>
      <c r="H130" s="399"/>
      <c r="I130" s="400"/>
      <c r="J130" s="400"/>
      <c r="K130" s="400"/>
      <c r="L130" s="400"/>
      <c r="M130" s="400"/>
      <c r="N130" s="400"/>
      <c r="O130" s="400"/>
    </row>
    <row r="131" spans="1:20" hidden="1" x14ac:dyDescent="0.25">
      <c r="A131" s="28" t="s">
        <v>373</v>
      </c>
      <c r="D131" s="3">
        <f>D79</f>
        <v>0</v>
      </c>
      <c r="F131" s="28"/>
      <c r="H131" s="399"/>
      <c r="I131" s="400"/>
      <c r="J131" s="400"/>
      <c r="K131" s="400"/>
      <c r="L131" s="400"/>
      <c r="M131" s="400"/>
      <c r="N131" s="400"/>
      <c r="O131" s="400"/>
    </row>
    <row r="132" spans="1:20" hidden="1" x14ac:dyDescent="0.25">
      <c r="A132" s="28"/>
      <c r="F132" s="28"/>
      <c r="H132" s="19"/>
    </row>
    <row r="133" spans="1:20" hidden="1" x14ac:dyDescent="0.25">
      <c r="A133" s="28" t="s">
        <v>437</v>
      </c>
      <c r="D133" s="3">
        <f>IF(D109=0,0,IF(D109=10,1,IF(D109=20,2,IF(D109=30,3,""))))</f>
        <v>0</v>
      </c>
      <c r="E133" s="47" t="s">
        <v>408</v>
      </c>
      <c r="F133" s="50">
        <f>D131+D133</f>
        <v>0</v>
      </c>
      <c r="H133" s="12"/>
      <c r="I133" s="5"/>
      <c r="J133" s="5"/>
      <c r="K133" s="5"/>
      <c r="L133" s="2"/>
      <c r="M133" s="2"/>
      <c r="O133" s="5"/>
      <c r="P133" s="5"/>
      <c r="Q133" s="5"/>
    </row>
    <row r="134" spans="1:20" hidden="1" x14ac:dyDescent="0.25">
      <c r="A134" s="28"/>
      <c r="F134" s="28"/>
      <c r="H134" s="19"/>
      <c r="O134" s="5"/>
      <c r="P134" s="5"/>
      <c r="Q134" s="5"/>
    </row>
    <row r="135" spans="1:20" hidden="1" x14ac:dyDescent="0.25">
      <c r="A135" s="51" t="s">
        <v>427</v>
      </c>
      <c r="B135" s="36"/>
      <c r="C135" s="36"/>
      <c r="D135" s="164" t="e">
        <f>VLOOKUP(F133,A120:B129,2,FALSE)</f>
        <v>#N/A</v>
      </c>
      <c r="E135" s="36" t="s">
        <v>380</v>
      </c>
      <c r="F135" s="6"/>
      <c r="H135" s="401" t="s">
        <v>1101</v>
      </c>
      <c r="I135" s="36"/>
      <c r="J135" s="36"/>
      <c r="K135" s="51"/>
      <c r="L135" s="164">
        <f>D97</f>
        <v>0</v>
      </c>
      <c r="M135" s="36" t="s">
        <v>401</v>
      </c>
      <c r="O135" s="6"/>
      <c r="P135" s="5"/>
      <c r="Q135" s="5"/>
    </row>
    <row r="136" spans="1:20" hidden="1" x14ac:dyDescent="0.25">
      <c r="A136" s="51" t="s">
        <v>438</v>
      </c>
      <c r="B136" s="36"/>
      <c r="C136" s="36"/>
      <c r="D136" s="36"/>
      <c r="E136" s="36"/>
      <c r="F136" s="6"/>
      <c r="H136" s="12"/>
      <c r="I136" s="5"/>
      <c r="J136" s="5"/>
      <c r="K136" s="5"/>
      <c r="L136" s="5"/>
      <c r="M136" s="5"/>
      <c r="N136" s="5"/>
      <c r="O136" s="5"/>
      <c r="P136" s="5"/>
      <c r="Q136" s="5"/>
    </row>
    <row r="137" spans="1:20" ht="47.25" hidden="1" customHeight="1" x14ac:dyDescent="0.25">
      <c r="F137" s="28"/>
      <c r="H137" s="19"/>
    </row>
    <row r="138" spans="1:20" ht="18.75" hidden="1" x14ac:dyDescent="0.3">
      <c r="A138" s="37" t="s">
        <v>450</v>
      </c>
      <c r="B138" s="42"/>
      <c r="C138" s="33"/>
      <c r="D138" s="33"/>
      <c r="E138" s="33"/>
      <c r="F138" s="38"/>
      <c r="G138" s="33"/>
      <c r="H138" s="33"/>
      <c r="I138" s="33"/>
      <c r="J138" s="33"/>
      <c r="K138" s="33"/>
      <c r="L138" s="33"/>
      <c r="M138" s="33"/>
      <c r="N138" s="33"/>
      <c r="O138" s="33"/>
      <c r="P138" s="33"/>
      <c r="Q138" s="33"/>
      <c r="R138" s="33"/>
      <c r="S138" s="33"/>
      <c r="T138" s="33"/>
    </row>
    <row r="139" spans="1:20" hidden="1" x14ac:dyDescent="0.25">
      <c r="F139" s="28"/>
    </row>
    <row r="140" spans="1:20" hidden="1" x14ac:dyDescent="0.25">
      <c r="A140" s="779" t="s">
        <v>802</v>
      </c>
      <c r="B140" s="779"/>
      <c r="C140" s="779"/>
      <c r="D140" s="779"/>
      <c r="E140" s="779"/>
      <c r="F140" s="779"/>
      <c r="G140" s="779"/>
      <c r="H140" s="779"/>
    </row>
    <row r="141" spans="1:20" hidden="1" x14ac:dyDescent="0.25">
      <c r="F141" s="28"/>
    </row>
    <row r="142" spans="1:20" hidden="1" x14ac:dyDescent="0.25">
      <c r="A142" s="3" t="s">
        <v>439</v>
      </c>
      <c r="B142" s="39"/>
      <c r="C142" s="3">
        <f>IF(D101="unter 75 kWh/m²/Jahr",2,IF(D101="zwischen 75 und 150 kWh/m²/Jahr",1,0))</f>
        <v>0</v>
      </c>
      <c r="G142" s="1"/>
      <c r="H142" s="1"/>
    </row>
    <row r="143" spans="1:20" hidden="1" x14ac:dyDescent="0.25">
      <c r="A143" s="3" t="s">
        <v>440</v>
      </c>
      <c r="C143" s="3" t="e">
        <f>D135</f>
        <v>#N/A</v>
      </c>
      <c r="G143" s="1"/>
      <c r="H143" s="1"/>
    </row>
    <row r="144" spans="1:20" hidden="1" x14ac:dyDescent="0.25">
      <c r="G144" s="1"/>
      <c r="H144" s="1"/>
    </row>
    <row r="145" spans="1:20" hidden="1" x14ac:dyDescent="0.25">
      <c r="A145" s="43" t="s">
        <v>401</v>
      </c>
      <c r="B145" s="43" t="s">
        <v>430</v>
      </c>
      <c r="C145" s="43" t="s">
        <v>401</v>
      </c>
      <c r="D145" s="43" t="s">
        <v>431</v>
      </c>
      <c r="E145" s="157"/>
      <c r="F145" s="158"/>
      <c r="G145" s="1"/>
      <c r="H145" s="1"/>
    </row>
    <row r="146" spans="1:20" hidden="1" x14ac:dyDescent="0.25">
      <c r="A146" s="45">
        <f t="shared" ref="A146:A155" si="0">B120</f>
        <v>50</v>
      </c>
      <c r="B146" s="46">
        <v>13</v>
      </c>
      <c r="C146" s="45">
        <f t="shared" ref="C146:C155" si="1">B120</f>
        <v>50</v>
      </c>
      <c r="D146" s="46">
        <v>27</v>
      </c>
      <c r="E146" s="159" t="s">
        <v>445</v>
      </c>
      <c r="F146" s="160"/>
      <c r="G146" s="1"/>
      <c r="H146" s="1"/>
    </row>
    <row r="147" spans="1:20" hidden="1" x14ac:dyDescent="0.25">
      <c r="A147" s="43">
        <f t="shared" si="0"/>
        <v>60</v>
      </c>
      <c r="B147" s="44">
        <v>16</v>
      </c>
      <c r="C147" s="43">
        <f t="shared" si="1"/>
        <v>60</v>
      </c>
      <c r="D147" s="44">
        <v>33</v>
      </c>
      <c r="E147" s="159" t="s">
        <v>432</v>
      </c>
      <c r="F147" s="156"/>
      <c r="G147" s="1"/>
      <c r="H147" s="1"/>
    </row>
    <row r="148" spans="1:20" hidden="1" x14ac:dyDescent="0.25">
      <c r="A148" s="45">
        <f t="shared" si="0"/>
        <v>75</v>
      </c>
      <c r="B148" s="46">
        <v>20</v>
      </c>
      <c r="C148" s="45">
        <f t="shared" si="1"/>
        <v>75</v>
      </c>
      <c r="D148" s="46">
        <v>41</v>
      </c>
      <c r="E148" s="159" t="s">
        <v>433</v>
      </c>
      <c r="F148" s="156"/>
      <c r="G148" s="1"/>
      <c r="H148" s="1"/>
    </row>
    <row r="149" spans="1:20" hidden="1" x14ac:dyDescent="0.25">
      <c r="A149" s="43">
        <f t="shared" si="0"/>
        <v>85</v>
      </c>
      <c r="B149" s="44">
        <v>23</v>
      </c>
      <c r="C149" s="43">
        <f t="shared" si="1"/>
        <v>85</v>
      </c>
      <c r="D149" s="44">
        <v>46</v>
      </c>
      <c r="E149" s="159"/>
      <c r="F149" s="156"/>
      <c r="G149" s="1"/>
      <c r="H149" s="1"/>
    </row>
    <row r="150" spans="1:20" hidden="1" x14ac:dyDescent="0.25">
      <c r="A150" s="45">
        <f t="shared" si="0"/>
        <v>95</v>
      </c>
      <c r="B150" s="46">
        <v>25</v>
      </c>
      <c r="C150" s="45">
        <f t="shared" si="1"/>
        <v>95</v>
      </c>
      <c r="D150" s="46">
        <v>52</v>
      </c>
      <c r="E150" s="159" t="s">
        <v>446</v>
      </c>
      <c r="F150" s="156"/>
      <c r="G150" s="1"/>
      <c r="H150" s="1"/>
    </row>
    <row r="151" spans="1:20" hidden="1" x14ac:dyDescent="0.25">
      <c r="A151" s="43">
        <f t="shared" si="0"/>
        <v>105</v>
      </c>
      <c r="B151" s="44">
        <v>28</v>
      </c>
      <c r="C151" s="43">
        <f t="shared" si="1"/>
        <v>105</v>
      </c>
      <c r="D151" s="44">
        <v>57</v>
      </c>
      <c r="E151" s="159" t="s">
        <v>447</v>
      </c>
      <c r="F151" s="156"/>
      <c r="G151" s="1"/>
      <c r="H151" s="1"/>
    </row>
    <row r="152" spans="1:20" hidden="1" x14ac:dyDescent="0.25">
      <c r="A152" s="45">
        <f t="shared" si="0"/>
        <v>115</v>
      </c>
      <c r="B152" s="46">
        <v>30</v>
      </c>
      <c r="C152" s="45">
        <f t="shared" si="1"/>
        <v>115</v>
      </c>
      <c r="D152" s="46">
        <v>63</v>
      </c>
      <c r="E152" s="159" t="s">
        <v>449</v>
      </c>
      <c r="F152" s="156"/>
      <c r="G152" s="1"/>
      <c r="H152" s="1"/>
    </row>
    <row r="153" spans="1:20" hidden="1" x14ac:dyDescent="0.25">
      <c r="A153" s="43">
        <f t="shared" si="0"/>
        <v>125</v>
      </c>
      <c r="B153" s="44">
        <v>33</v>
      </c>
      <c r="C153" s="43">
        <f t="shared" si="1"/>
        <v>125</v>
      </c>
      <c r="D153" s="44">
        <v>68</v>
      </c>
      <c r="E153" s="159" t="s">
        <v>448</v>
      </c>
      <c r="F153" s="156"/>
      <c r="I153" s="5"/>
      <c r="J153" s="5"/>
      <c r="K153" s="5"/>
    </row>
    <row r="154" spans="1:20" hidden="1" x14ac:dyDescent="0.25">
      <c r="A154" s="45">
        <f t="shared" si="0"/>
        <v>135</v>
      </c>
      <c r="B154" s="46">
        <v>36</v>
      </c>
      <c r="C154" s="45">
        <f t="shared" si="1"/>
        <v>135</v>
      </c>
      <c r="D154" s="46">
        <v>73</v>
      </c>
      <c r="E154" s="159"/>
      <c r="F154" s="156"/>
    </row>
    <row r="155" spans="1:20" hidden="1" x14ac:dyDescent="0.25">
      <c r="A155" s="43">
        <f t="shared" si="0"/>
        <v>145</v>
      </c>
      <c r="B155" s="44">
        <v>38</v>
      </c>
      <c r="C155" s="43">
        <f t="shared" si="1"/>
        <v>145</v>
      </c>
      <c r="D155" s="44">
        <v>79</v>
      </c>
      <c r="E155" s="161"/>
      <c r="F155" s="162"/>
    </row>
    <row r="156" spans="1:20" hidden="1" x14ac:dyDescent="0.25">
      <c r="A156" s="2"/>
      <c r="B156" s="5"/>
      <c r="C156" s="5"/>
      <c r="D156" s="6"/>
      <c r="E156" s="5"/>
      <c r="F156" s="28"/>
    </row>
    <row r="157" spans="1:20" hidden="1" x14ac:dyDescent="0.25">
      <c r="A157" s="36" t="s">
        <v>1175</v>
      </c>
      <c r="B157" s="36"/>
      <c r="C157" s="36"/>
      <c r="D157" s="51">
        <f>IF(C142=0,0,IF(C142=1,VLOOKUP(C143,A146:B155,2,FALSE),IF(C142=2,VLOOKUP(C143,C146:D155,2,FALSE),"")))</f>
        <v>0</v>
      </c>
      <c r="E157" s="36" t="s">
        <v>371</v>
      </c>
      <c r="F157" s="28"/>
    </row>
    <row r="158" spans="1:20" ht="42.75" hidden="1" customHeight="1" x14ac:dyDescent="0.25">
      <c r="F158" s="28"/>
    </row>
    <row r="159" spans="1:20" ht="18.75" hidden="1" customHeight="1" x14ac:dyDescent="0.3">
      <c r="A159" s="37" t="s">
        <v>930</v>
      </c>
      <c r="B159" s="33"/>
      <c r="C159" s="33"/>
      <c r="D159" s="33"/>
      <c r="E159" s="33"/>
      <c r="F159" s="38"/>
      <c r="G159" s="33"/>
      <c r="H159" s="33"/>
      <c r="I159" s="33"/>
      <c r="J159" s="33"/>
      <c r="K159" s="33"/>
      <c r="L159" s="33"/>
      <c r="M159" s="33"/>
      <c r="N159" s="33"/>
      <c r="O159" s="33"/>
      <c r="P159" s="33"/>
      <c r="Q159" s="33"/>
      <c r="R159" s="33"/>
      <c r="S159" s="33"/>
      <c r="T159" s="33"/>
    </row>
    <row r="160" spans="1:20" ht="15" hidden="1" customHeight="1" x14ac:dyDescent="0.25">
      <c r="F160" s="28"/>
    </row>
    <row r="161" spans="1:20" ht="15" hidden="1" customHeight="1" x14ac:dyDescent="0.25">
      <c r="A161" s="3" t="s">
        <v>931</v>
      </c>
      <c r="C161" s="3">
        <f>IF(D103="ja, in tats. Höhe",2,IF(D103="ja, 5 %-Regel",1,0))</f>
        <v>0</v>
      </c>
      <c r="E161" s="3" t="s">
        <v>932</v>
      </c>
      <c r="F161" s="28"/>
    </row>
    <row r="162" spans="1:20" ht="15" hidden="1" customHeight="1" x14ac:dyDescent="0.25">
      <c r="F162" s="28"/>
    </row>
    <row r="163" spans="1:20" ht="15" hidden="1" customHeight="1" x14ac:dyDescent="0.25">
      <c r="A163" s="3" t="s">
        <v>943</v>
      </c>
      <c r="C163" s="526">
        <f>IF(AND(C161=2,H105&gt;0),H105,IF(C161=1,(H107/100)*5,0))</f>
        <v>0</v>
      </c>
      <c r="E163" s="3" t="s">
        <v>944</v>
      </c>
      <c r="F163" s="28"/>
    </row>
    <row r="164" spans="1:20" ht="42.75" hidden="1" customHeight="1" x14ac:dyDescent="0.25">
      <c r="F164" s="28"/>
    </row>
    <row r="165" spans="1:20" ht="18.75" hidden="1" x14ac:dyDescent="0.3">
      <c r="A165" s="37" t="s">
        <v>916</v>
      </c>
      <c r="B165" s="33"/>
      <c r="C165" s="33"/>
      <c r="D165" s="33"/>
      <c r="E165" s="33"/>
      <c r="F165" s="38"/>
      <c r="G165" s="33"/>
      <c r="H165" s="33"/>
      <c r="I165" s="33"/>
      <c r="J165" s="33"/>
      <c r="K165" s="33"/>
      <c r="L165" s="33"/>
      <c r="M165" s="33"/>
      <c r="N165" s="33"/>
      <c r="O165" s="33"/>
      <c r="P165" s="33"/>
      <c r="Q165" s="33"/>
      <c r="R165" s="33"/>
      <c r="S165" s="33"/>
      <c r="T165" s="33"/>
    </row>
    <row r="166" spans="1:20" ht="39.200000000000003" hidden="1" customHeight="1" x14ac:dyDescent="0.25">
      <c r="F166" s="28"/>
    </row>
    <row r="167" spans="1:20" hidden="1" x14ac:dyDescent="0.25">
      <c r="A167" s="42" t="s">
        <v>917</v>
      </c>
      <c r="B167" s="33"/>
      <c r="C167" s="33"/>
      <c r="D167" s="33"/>
      <c r="E167" s="33"/>
      <c r="F167" s="38"/>
      <c r="G167" s="33"/>
      <c r="H167" s="33"/>
      <c r="I167" s="33"/>
      <c r="J167" s="33"/>
      <c r="K167" s="33"/>
      <c r="L167" s="33"/>
      <c r="M167" s="33"/>
      <c r="N167" s="33"/>
      <c r="O167" s="33"/>
      <c r="P167" s="33"/>
      <c r="Q167" s="33"/>
      <c r="R167" s="33"/>
      <c r="S167" s="33"/>
      <c r="T167" s="33"/>
    </row>
    <row r="168" spans="1:20" hidden="1" x14ac:dyDescent="0.25">
      <c r="F168" s="28"/>
    </row>
    <row r="169" spans="1:20" hidden="1" x14ac:dyDescent="0.25">
      <c r="A169" s="43" t="s">
        <v>461</v>
      </c>
      <c r="B169" s="77" t="s">
        <v>457</v>
      </c>
      <c r="C169" s="77" t="s">
        <v>458</v>
      </c>
      <c r="D169" s="43"/>
      <c r="E169" s="77" t="s">
        <v>462</v>
      </c>
      <c r="F169" s="78" t="s">
        <v>463</v>
      </c>
    </row>
    <row r="170" spans="1:20" hidden="1" x14ac:dyDescent="0.25">
      <c r="A170" s="75">
        <f>IF(AND(D113&gt;=E170,D113&lt;=F170),1,0)</f>
        <v>0</v>
      </c>
      <c r="B170" s="45">
        <v>1</v>
      </c>
      <c r="C170" s="45">
        <v>2019</v>
      </c>
      <c r="D170" s="76" t="s">
        <v>453</v>
      </c>
      <c r="E170" s="67">
        <v>43770</v>
      </c>
      <c r="F170" s="67">
        <v>44138</v>
      </c>
      <c r="G170" s="801" t="s">
        <v>1408</v>
      </c>
      <c r="H170" s="801"/>
      <c r="I170" s="801"/>
      <c r="J170" s="801"/>
      <c r="K170" s="801"/>
      <c r="L170" s="801"/>
      <c r="M170" s="802"/>
    </row>
    <row r="171" spans="1:20" hidden="1" x14ac:dyDescent="0.25">
      <c r="A171" s="66">
        <f>IF(AND(D113&gt;=E171,D113&lt;=F171),1,0)</f>
        <v>0</v>
      </c>
      <c r="B171" s="43">
        <v>2</v>
      </c>
      <c r="C171" s="43">
        <v>2020</v>
      </c>
      <c r="D171" s="73" t="s">
        <v>453</v>
      </c>
      <c r="E171" s="65">
        <v>44139</v>
      </c>
      <c r="F171" s="65">
        <v>44773</v>
      </c>
      <c r="G171" s="803"/>
      <c r="H171" s="803"/>
      <c r="I171" s="803"/>
      <c r="J171" s="803"/>
      <c r="K171" s="803"/>
      <c r="L171" s="803"/>
      <c r="M171" s="804"/>
    </row>
    <row r="172" spans="1:20" hidden="1" x14ac:dyDescent="0.25">
      <c r="A172" s="351">
        <f>IF(AND(D113&gt;=E172,D113&lt;=F172),1,0)</f>
        <v>0</v>
      </c>
      <c r="B172" s="45">
        <v>3</v>
      </c>
      <c r="C172" s="72" t="s">
        <v>1044</v>
      </c>
      <c r="D172" s="72" t="s">
        <v>453</v>
      </c>
      <c r="E172" s="67">
        <v>44774</v>
      </c>
      <c r="F172" s="67">
        <v>45016</v>
      </c>
      <c r="G172" s="803"/>
      <c r="H172" s="803"/>
      <c r="I172" s="803"/>
      <c r="J172" s="803"/>
      <c r="K172" s="803"/>
      <c r="L172" s="803"/>
      <c r="M172" s="804"/>
    </row>
    <row r="173" spans="1:20" hidden="1" x14ac:dyDescent="0.25">
      <c r="A173" s="43">
        <f>IF(AND(D113&gt;=E173,D113&lt;=F173),1,0)</f>
        <v>0</v>
      </c>
      <c r="B173" s="43">
        <v>4</v>
      </c>
      <c r="C173" s="73" t="s">
        <v>1055</v>
      </c>
      <c r="D173" s="73" t="s">
        <v>453</v>
      </c>
      <c r="E173" s="65">
        <v>45017</v>
      </c>
      <c r="F173" s="65">
        <v>45291</v>
      </c>
      <c r="G173" s="803"/>
      <c r="H173" s="803"/>
      <c r="I173" s="803"/>
      <c r="J173" s="803"/>
      <c r="K173" s="803"/>
      <c r="L173" s="803"/>
      <c r="M173" s="804"/>
    </row>
    <row r="174" spans="1:20" hidden="1" x14ac:dyDescent="0.25">
      <c r="A174" s="43">
        <f>IF(AND(D113&gt;=E174,D113&lt;=F174),1,0)</f>
        <v>0</v>
      </c>
      <c r="B174" s="45">
        <v>5</v>
      </c>
      <c r="C174" s="72" t="s">
        <v>1411</v>
      </c>
      <c r="D174" s="72" t="s">
        <v>453</v>
      </c>
      <c r="E174" s="67">
        <v>45292</v>
      </c>
      <c r="F174" s="67">
        <v>45657</v>
      </c>
      <c r="G174" s="803"/>
      <c r="H174" s="803"/>
      <c r="I174" s="803"/>
      <c r="J174" s="803"/>
      <c r="K174" s="803"/>
      <c r="L174" s="803"/>
      <c r="M174" s="804"/>
    </row>
    <row r="175" spans="1:20" hidden="1" x14ac:dyDescent="0.25">
      <c r="A175" s="43">
        <f>IF(D113&gt;=E175,1,0)</f>
        <v>0</v>
      </c>
      <c r="B175" s="43">
        <v>6</v>
      </c>
      <c r="C175" s="43">
        <v>2024</v>
      </c>
      <c r="D175" s="73" t="s">
        <v>453</v>
      </c>
      <c r="E175" s="65">
        <v>45658</v>
      </c>
      <c r="F175" s="43"/>
      <c r="G175" s="803"/>
      <c r="H175" s="803"/>
      <c r="I175" s="803"/>
      <c r="J175" s="803"/>
      <c r="K175" s="803"/>
      <c r="L175" s="803"/>
      <c r="M175" s="804"/>
    </row>
    <row r="176" spans="1:20" hidden="1" x14ac:dyDescent="0.25">
      <c r="A176" s="45"/>
      <c r="B176" s="45">
        <v>7</v>
      </c>
      <c r="C176" s="45">
        <v>2025</v>
      </c>
      <c r="D176" s="72" t="s">
        <v>453</v>
      </c>
      <c r="E176" s="45"/>
      <c r="F176" s="45"/>
      <c r="G176" s="803"/>
      <c r="H176" s="803"/>
      <c r="I176" s="803"/>
      <c r="J176" s="803"/>
      <c r="K176" s="803"/>
      <c r="L176" s="803"/>
      <c r="M176" s="804"/>
    </row>
    <row r="177" spans="1:20" hidden="1" x14ac:dyDescent="0.25">
      <c r="A177" s="43"/>
      <c r="B177" s="43">
        <v>8</v>
      </c>
      <c r="C177" s="43">
        <v>2026</v>
      </c>
      <c r="D177" s="73" t="s">
        <v>453</v>
      </c>
      <c r="E177" s="43"/>
      <c r="F177" s="43"/>
      <c r="G177" s="803"/>
      <c r="H177" s="803"/>
      <c r="I177" s="803"/>
      <c r="J177" s="803"/>
      <c r="K177" s="803"/>
      <c r="L177" s="803"/>
      <c r="M177" s="804"/>
    </row>
    <row r="178" spans="1:20" hidden="1" x14ac:dyDescent="0.25">
      <c r="A178" s="45"/>
      <c r="B178" s="45">
        <v>9</v>
      </c>
      <c r="C178" s="45">
        <v>2027</v>
      </c>
      <c r="D178" s="72" t="s">
        <v>453</v>
      </c>
      <c r="E178" s="45"/>
      <c r="F178" s="45"/>
      <c r="G178" s="803"/>
      <c r="H178" s="803"/>
      <c r="I178" s="803"/>
      <c r="J178" s="803"/>
      <c r="K178" s="803"/>
      <c r="L178" s="803"/>
      <c r="M178" s="804"/>
    </row>
    <row r="179" spans="1:20" hidden="1" x14ac:dyDescent="0.25">
      <c r="A179" s="43"/>
      <c r="B179" s="43">
        <v>10</v>
      </c>
      <c r="C179" s="43">
        <v>2028</v>
      </c>
      <c r="D179" s="73" t="s">
        <v>453</v>
      </c>
      <c r="E179" s="43"/>
      <c r="F179" s="43"/>
      <c r="G179" s="803"/>
      <c r="H179" s="803"/>
      <c r="I179" s="803"/>
      <c r="J179" s="803"/>
      <c r="K179" s="803"/>
      <c r="L179" s="803"/>
      <c r="M179" s="804"/>
    </row>
    <row r="180" spans="1:20" hidden="1" x14ac:dyDescent="0.25">
      <c r="A180" s="45"/>
      <c r="B180" s="45">
        <v>11</v>
      </c>
      <c r="C180" s="45">
        <v>2029</v>
      </c>
      <c r="D180" s="72" t="s">
        <v>453</v>
      </c>
      <c r="E180" s="45"/>
      <c r="F180" s="45"/>
      <c r="G180" s="803"/>
      <c r="H180" s="803"/>
      <c r="I180" s="803"/>
      <c r="J180" s="803"/>
      <c r="K180" s="803"/>
      <c r="L180" s="803"/>
      <c r="M180" s="804"/>
    </row>
    <row r="181" spans="1:20" hidden="1" x14ac:dyDescent="0.25">
      <c r="A181" s="43"/>
      <c r="B181" s="43">
        <v>12</v>
      </c>
      <c r="C181" s="43">
        <v>2030</v>
      </c>
      <c r="D181" s="73" t="s">
        <v>453</v>
      </c>
      <c r="E181" s="43"/>
      <c r="F181" s="43"/>
      <c r="G181" s="805"/>
      <c r="H181" s="805"/>
      <c r="I181" s="805"/>
      <c r="J181" s="805"/>
      <c r="K181" s="805"/>
      <c r="L181" s="805"/>
      <c r="M181" s="806"/>
    </row>
    <row r="182" spans="1:20" hidden="1" x14ac:dyDescent="0.25">
      <c r="F182" s="28"/>
    </row>
    <row r="183" spans="1:20" hidden="1" x14ac:dyDescent="0.25">
      <c r="A183" s="36" t="s">
        <v>454</v>
      </c>
      <c r="B183" s="36"/>
      <c r="C183" s="36"/>
      <c r="D183" s="36" t="e">
        <f>VLOOKUP(1,A170:C181,2,FALSE)</f>
        <v>#N/A</v>
      </c>
      <c r="E183" s="36" t="e">
        <f>VLOOKUP(D183,B170:C181,2,FALSE)</f>
        <v>#N/A</v>
      </c>
      <c r="F183" s="6"/>
    </row>
    <row r="184" spans="1:20" ht="39.200000000000003" hidden="1" customHeight="1" x14ac:dyDescent="0.25">
      <c r="F184" s="28"/>
    </row>
    <row r="185" spans="1:20" ht="15" hidden="1" customHeight="1" x14ac:dyDescent="0.25">
      <c r="A185" s="42" t="s">
        <v>918</v>
      </c>
      <c r="B185" s="33"/>
      <c r="C185" s="33"/>
      <c r="D185" s="33"/>
      <c r="E185" s="33"/>
      <c r="F185" s="38"/>
      <c r="G185" s="33"/>
      <c r="H185" s="33"/>
      <c r="I185" s="33"/>
      <c r="J185" s="33"/>
      <c r="K185" s="33"/>
      <c r="L185" s="33"/>
      <c r="M185" s="33"/>
      <c r="N185" s="33"/>
      <c r="O185" s="33"/>
      <c r="P185" s="33"/>
      <c r="Q185" s="33"/>
      <c r="R185" s="33"/>
      <c r="S185" s="33"/>
      <c r="T185" s="33"/>
    </row>
    <row r="186" spans="1:20" ht="15" hidden="1" customHeight="1" x14ac:dyDescent="0.25">
      <c r="F186" s="28"/>
    </row>
    <row r="187" spans="1:20" ht="15" hidden="1" customHeight="1" x14ac:dyDescent="0.25">
      <c r="A187" s="43" t="s">
        <v>461</v>
      </c>
      <c r="B187" s="43" t="s">
        <v>457</v>
      </c>
      <c r="C187" s="43" t="s">
        <v>401</v>
      </c>
      <c r="D187" s="43" t="s">
        <v>401</v>
      </c>
      <c r="E187" s="807" t="s">
        <v>468</v>
      </c>
      <c r="F187" s="801"/>
      <c r="G187" s="801"/>
      <c r="H187" s="802"/>
    </row>
    <row r="188" spans="1:20" ht="15" hidden="1" customHeight="1" x14ac:dyDescent="0.25">
      <c r="A188" s="43"/>
      <c r="B188" s="43"/>
      <c r="C188" s="43" t="s">
        <v>459</v>
      </c>
      <c r="D188" s="43" t="s">
        <v>460</v>
      </c>
      <c r="E188" s="808"/>
      <c r="F188" s="803"/>
      <c r="G188" s="803"/>
      <c r="H188" s="804"/>
    </row>
    <row r="189" spans="1:20" ht="15" hidden="1" customHeight="1" x14ac:dyDescent="0.25">
      <c r="A189" s="45">
        <f>IF(AND(D95&gt;C189,D95&lt;=D189),1,0)</f>
        <v>0</v>
      </c>
      <c r="B189" s="72" t="s">
        <v>464</v>
      </c>
      <c r="C189" s="45">
        <v>0</v>
      </c>
      <c r="D189" s="45">
        <v>250.499</v>
      </c>
      <c r="E189" s="808"/>
      <c r="F189" s="803"/>
      <c r="G189" s="803"/>
      <c r="H189" s="804"/>
    </row>
    <row r="190" spans="1:20" ht="15" hidden="1" customHeight="1" x14ac:dyDescent="0.25">
      <c r="A190" s="43">
        <f>IF(AND(D95&gt;=C190,D95&lt;=D190),1,0)</f>
        <v>0</v>
      </c>
      <c r="B190" s="73" t="s">
        <v>465</v>
      </c>
      <c r="C190" s="43">
        <v>250.5</v>
      </c>
      <c r="D190" s="43">
        <v>500.49900000000002</v>
      </c>
      <c r="E190" s="808"/>
      <c r="F190" s="803"/>
      <c r="G190" s="803"/>
      <c r="H190" s="804"/>
    </row>
    <row r="191" spans="1:20" ht="15" hidden="1" customHeight="1" x14ac:dyDescent="0.25">
      <c r="A191" s="45">
        <f>IF(AND(D95&gt;=C191,D95&lt;=D191),1,0)</f>
        <v>0</v>
      </c>
      <c r="B191" s="72" t="s">
        <v>466</v>
      </c>
      <c r="C191" s="45">
        <v>500.5</v>
      </c>
      <c r="D191" s="45">
        <v>999.49900000000002</v>
      </c>
      <c r="E191" s="808"/>
      <c r="F191" s="803"/>
      <c r="G191" s="803"/>
      <c r="H191" s="804"/>
    </row>
    <row r="192" spans="1:20" ht="15" hidden="1" customHeight="1" x14ac:dyDescent="0.25">
      <c r="A192" s="43">
        <f>IF(AND(D95&gt;=C192,D95&lt;=D192),1,0)</f>
        <v>0</v>
      </c>
      <c r="B192" s="73" t="s">
        <v>467</v>
      </c>
      <c r="C192" s="43">
        <v>999.5</v>
      </c>
      <c r="D192" s="43">
        <v>100000000</v>
      </c>
      <c r="E192" s="809"/>
      <c r="F192" s="805"/>
      <c r="G192" s="805"/>
      <c r="H192" s="806"/>
    </row>
    <row r="193" spans="1:20" ht="15" hidden="1" customHeight="1" x14ac:dyDescent="0.25"/>
    <row r="194" spans="1:20" ht="15" hidden="1" customHeight="1" x14ac:dyDescent="0.25">
      <c r="A194" s="36" t="s">
        <v>469</v>
      </c>
      <c r="B194" s="36"/>
      <c r="C194" s="36"/>
      <c r="D194" s="79" t="e">
        <f>VLOOKUP(1,A189:B192,2,FALSE)</f>
        <v>#N/A</v>
      </c>
      <c r="E194" s="36"/>
    </row>
    <row r="195" spans="1:20" ht="15" hidden="1" customHeight="1" x14ac:dyDescent="0.25">
      <c r="F195" s="28"/>
    </row>
    <row r="196" spans="1:20" ht="15" hidden="1" customHeight="1" x14ac:dyDescent="0.25">
      <c r="F196" s="28"/>
    </row>
    <row r="197" spans="1:20" ht="15" hidden="1" customHeight="1" x14ac:dyDescent="0.25">
      <c r="F197" s="28"/>
    </row>
    <row r="198" spans="1:20" ht="15" hidden="1" customHeight="1" x14ac:dyDescent="0.25">
      <c r="F198" s="28"/>
    </row>
    <row r="199" spans="1:20" hidden="1" x14ac:dyDescent="0.25">
      <c r="A199" s="42" t="s">
        <v>919</v>
      </c>
      <c r="B199" s="33"/>
      <c r="C199" s="33"/>
      <c r="D199" s="33"/>
      <c r="E199" s="33"/>
      <c r="F199" s="38"/>
      <c r="G199" s="33"/>
      <c r="H199" s="33"/>
      <c r="I199" s="33"/>
      <c r="J199" s="33"/>
      <c r="K199" s="33"/>
      <c r="L199" s="33"/>
      <c r="M199" s="33"/>
      <c r="N199" s="33"/>
      <c r="O199" s="33"/>
      <c r="P199" s="33"/>
      <c r="Q199" s="33"/>
      <c r="R199" s="33"/>
      <c r="S199" s="33"/>
      <c r="T199" s="33"/>
    </row>
    <row r="200" spans="1:20" hidden="1" x14ac:dyDescent="0.25">
      <c r="F200" s="28"/>
    </row>
    <row r="201" spans="1:20" hidden="1" x14ac:dyDescent="0.25">
      <c r="A201" s="3" t="s">
        <v>471</v>
      </c>
      <c r="B201" s="3">
        <v>1</v>
      </c>
      <c r="F201" s="28"/>
    </row>
    <row r="202" spans="1:20" hidden="1" x14ac:dyDescent="0.25">
      <c r="A202" s="3" t="s">
        <v>392</v>
      </c>
      <c r="B202" s="3">
        <v>2</v>
      </c>
      <c r="F202" s="28"/>
    </row>
    <row r="203" spans="1:20" hidden="1" x14ac:dyDescent="0.25">
      <c r="A203" s="3" t="s">
        <v>393</v>
      </c>
      <c r="B203" s="3">
        <v>3</v>
      </c>
      <c r="F203" s="28"/>
    </row>
    <row r="204" spans="1:20" hidden="1" x14ac:dyDescent="0.25">
      <c r="A204" s="3" t="s">
        <v>394</v>
      </c>
      <c r="B204" s="3">
        <v>4</v>
      </c>
      <c r="F204" s="28"/>
    </row>
    <row r="205" spans="1:20" hidden="1" x14ac:dyDescent="0.25">
      <c r="A205" s="40">
        <v>0</v>
      </c>
      <c r="B205" s="3">
        <v>0</v>
      </c>
      <c r="F205" s="28"/>
    </row>
    <row r="206" spans="1:20" hidden="1" x14ac:dyDescent="0.25">
      <c r="F206" s="28"/>
    </row>
    <row r="207" spans="1:20" hidden="1" x14ac:dyDescent="0.25">
      <c r="A207" s="36" t="s">
        <v>455</v>
      </c>
      <c r="B207" s="36"/>
      <c r="C207" s="36"/>
      <c r="D207" s="36">
        <f>VLOOKUP(D99,A201:B205,2,FALSE)</f>
        <v>0</v>
      </c>
      <c r="E207" s="36"/>
      <c r="F207" s="28"/>
    </row>
    <row r="208" spans="1:20" ht="42" hidden="1" customHeight="1" x14ac:dyDescent="0.25">
      <c r="F208" s="28"/>
    </row>
    <row r="209" spans="1:20" hidden="1" x14ac:dyDescent="0.25">
      <c r="A209" s="42" t="s">
        <v>920</v>
      </c>
      <c r="B209" s="74"/>
      <c r="C209" s="33"/>
      <c r="D209" s="33"/>
      <c r="E209" s="33"/>
      <c r="F209" s="38"/>
      <c r="G209" s="33"/>
      <c r="H209" s="33"/>
      <c r="I209" s="33"/>
      <c r="J209" s="33"/>
      <c r="K209" s="33"/>
      <c r="L209" s="33"/>
      <c r="M209" s="33"/>
      <c r="N209" s="33"/>
      <c r="O209" s="33"/>
      <c r="P209" s="33"/>
      <c r="Q209" s="33"/>
      <c r="R209" s="33"/>
      <c r="S209" s="33"/>
      <c r="T209" s="33"/>
    </row>
    <row r="210" spans="1:20" hidden="1" x14ac:dyDescent="0.25">
      <c r="F210" s="28"/>
    </row>
    <row r="211" spans="1:20" ht="15" hidden="1" customHeight="1" x14ac:dyDescent="0.25">
      <c r="A211" s="778" t="s">
        <v>684</v>
      </c>
      <c r="B211" s="778"/>
      <c r="C211" s="778"/>
      <c r="D211" s="778"/>
      <c r="E211" s="778"/>
      <c r="F211" s="778"/>
      <c r="G211" s="778"/>
      <c r="H211" s="778"/>
    </row>
    <row r="212" spans="1:20" hidden="1" x14ac:dyDescent="0.25">
      <c r="A212" s="778"/>
      <c r="B212" s="778"/>
      <c r="C212" s="778"/>
      <c r="D212" s="778"/>
      <c r="E212" s="778"/>
      <c r="F212" s="778"/>
      <c r="G212" s="778"/>
      <c r="H212" s="778"/>
    </row>
    <row r="213" spans="1:20" hidden="1" x14ac:dyDescent="0.25">
      <c r="A213" s="778"/>
      <c r="B213" s="778"/>
      <c r="C213" s="778"/>
      <c r="D213" s="778"/>
      <c r="E213" s="778"/>
      <c r="F213" s="778"/>
      <c r="G213" s="778"/>
      <c r="H213" s="778"/>
    </row>
    <row r="214" spans="1:20" hidden="1" x14ac:dyDescent="0.25">
      <c r="A214" s="778"/>
      <c r="B214" s="778"/>
      <c r="C214" s="778"/>
      <c r="D214" s="778"/>
      <c r="E214" s="778"/>
      <c r="F214" s="778"/>
      <c r="G214" s="778"/>
      <c r="H214" s="778"/>
    </row>
    <row r="215" spans="1:20" hidden="1" x14ac:dyDescent="0.25">
      <c r="A215" s="778"/>
      <c r="B215" s="778"/>
      <c r="C215" s="778"/>
      <c r="D215" s="778"/>
      <c r="E215" s="778"/>
      <c r="F215" s="778"/>
      <c r="G215" s="778"/>
      <c r="H215" s="778"/>
    </row>
    <row r="216" spans="1:20" hidden="1" x14ac:dyDescent="0.25">
      <c r="F216" s="28"/>
    </row>
    <row r="217" spans="1:20" hidden="1" x14ac:dyDescent="0.25">
      <c r="A217" s="36" t="s">
        <v>470</v>
      </c>
      <c r="B217" s="36"/>
      <c r="C217" s="36" t="s">
        <v>456</v>
      </c>
      <c r="D217" s="79" t="e">
        <f>D183&amp;""&amp;D194&amp;""&amp;D207</f>
        <v>#N/A</v>
      </c>
      <c r="E217" s="36"/>
      <c r="F217" s="28"/>
    </row>
    <row r="218" spans="1:20" ht="42.75" hidden="1" customHeight="1" x14ac:dyDescent="0.25">
      <c r="F218" s="28"/>
    </row>
    <row r="219" spans="1:20" hidden="1" x14ac:dyDescent="0.25">
      <c r="A219" s="42" t="s">
        <v>921</v>
      </c>
      <c r="B219" s="33"/>
      <c r="C219" s="33"/>
      <c r="D219" s="33"/>
      <c r="E219" s="33"/>
      <c r="F219" s="38"/>
      <c r="G219" s="33"/>
      <c r="H219" s="33"/>
      <c r="I219" s="33"/>
      <c r="J219" s="33"/>
      <c r="K219" s="33"/>
      <c r="L219" s="33"/>
      <c r="M219" s="33"/>
      <c r="N219" s="33"/>
      <c r="O219" s="33"/>
      <c r="P219" s="33"/>
      <c r="Q219" s="33"/>
      <c r="R219" s="33"/>
      <c r="S219" s="33"/>
      <c r="T219" s="33"/>
    </row>
    <row r="220" spans="1:20" hidden="1" x14ac:dyDescent="0.25">
      <c r="F220" s="28"/>
    </row>
    <row r="221" spans="1:20" ht="15" hidden="1" customHeight="1" x14ac:dyDescent="0.25">
      <c r="A221" s="777" t="s">
        <v>926</v>
      </c>
      <c r="B221" s="777"/>
      <c r="C221" s="777"/>
      <c r="D221" s="777"/>
      <c r="E221" s="777"/>
      <c r="F221" s="777"/>
      <c r="G221" s="777"/>
      <c r="H221" s="777"/>
    </row>
    <row r="222" spans="1:20" hidden="1" x14ac:dyDescent="0.25">
      <c r="A222" s="777"/>
      <c r="B222" s="777"/>
      <c r="C222" s="777"/>
      <c r="D222" s="777"/>
      <c r="E222" s="777"/>
      <c r="F222" s="777"/>
      <c r="G222" s="777"/>
      <c r="H222" s="777"/>
    </row>
    <row r="223" spans="1:20" hidden="1" x14ac:dyDescent="0.25">
      <c r="A223" s="777"/>
      <c r="B223" s="777"/>
      <c r="C223" s="777"/>
      <c r="D223" s="777"/>
      <c r="E223" s="777"/>
      <c r="F223" s="777"/>
      <c r="G223" s="777"/>
      <c r="H223" s="777"/>
    </row>
    <row r="224" spans="1:20" hidden="1" x14ac:dyDescent="0.25">
      <c r="F224" s="28"/>
    </row>
    <row r="225" spans="1:26" hidden="1" x14ac:dyDescent="0.25">
      <c r="C225" s="775" t="s">
        <v>527</v>
      </c>
      <c r="D225" s="776"/>
      <c r="E225" s="775" t="s">
        <v>528</v>
      </c>
      <c r="F225" s="776"/>
      <c r="G225" s="775" t="s">
        <v>1043</v>
      </c>
      <c r="H225" s="776"/>
      <c r="I225" s="775" t="s">
        <v>1054</v>
      </c>
      <c r="J225" s="776"/>
      <c r="K225" s="775" t="s">
        <v>1412</v>
      </c>
      <c r="L225" s="776"/>
      <c r="M225" s="775" t="s">
        <v>552</v>
      </c>
      <c r="N225" s="776"/>
      <c r="O225" s="775" t="s">
        <v>553</v>
      </c>
      <c r="P225" s="776"/>
      <c r="Q225" s="775" t="s">
        <v>554</v>
      </c>
      <c r="R225" s="776"/>
      <c r="S225" s="775" t="s">
        <v>555</v>
      </c>
      <c r="T225" s="776"/>
      <c r="U225" s="775" t="s">
        <v>556</v>
      </c>
      <c r="V225" s="776"/>
      <c r="W225" s="775" t="s">
        <v>557</v>
      </c>
      <c r="X225" s="776"/>
      <c r="Y225" s="775" t="s">
        <v>558</v>
      </c>
      <c r="Z225" s="776"/>
    </row>
    <row r="226" spans="1:26" hidden="1" x14ac:dyDescent="0.25">
      <c r="C226" s="80" t="s">
        <v>481</v>
      </c>
      <c r="D226" s="69" t="s">
        <v>499</v>
      </c>
      <c r="E226" s="80" t="s">
        <v>481</v>
      </c>
      <c r="F226" s="83" t="s">
        <v>499</v>
      </c>
      <c r="G226" s="80" t="s">
        <v>481</v>
      </c>
      <c r="H226" s="69" t="s">
        <v>499</v>
      </c>
      <c r="I226" s="84" t="s">
        <v>481</v>
      </c>
      <c r="J226" s="82" t="s">
        <v>499</v>
      </c>
      <c r="K226" s="84" t="s">
        <v>481</v>
      </c>
      <c r="L226" s="82" t="s">
        <v>499</v>
      </c>
      <c r="M226" s="84" t="s">
        <v>481</v>
      </c>
      <c r="N226" s="82" t="s">
        <v>499</v>
      </c>
      <c r="O226" s="84" t="s">
        <v>481</v>
      </c>
      <c r="P226" s="82" t="s">
        <v>499</v>
      </c>
      <c r="Q226" s="84" t="s">
        <v>481</v>
      </c>
      <c r="R226" s="82" t="s">
        <v>499</v>
      </c>
      <c r="S226" s="84" t="s">
        <v>481</v>
      </c>
      <c r="T226" s="82" t="s">
        <v>499</v>
      </c>
      <c r="U226" s="84" t="s">
        <v>481</v>
      </c>
      <c r="V226" s="82" t="s">
        <v>499</v>
      </c>
      <c r="W226" s="84" t="s">
        <v>481</v>
      </c>
      <c r="X226" s="82" t="s">
        <v>499</v>
      </c>
      <c r="Y226" s="84" t="s">
        <v>481</v>
      </c>
      <c r="Z226" s="82" t="s">
        <v>499</v>
      </c>
    </row>
    <row r="227" spans="1:26" s="1" customFormat="1" hidden="1" x14ac:dyDescent="0.25">
      <c r="A227" s="92"/>
      <c r="B227" s="93" t="s">
        <v>477</v>
      </c>
      <c r="C227" s="88" t="s">
        <v>482</v>
      </c>
      <c r="D227" s="89">
        <v>16.41</v>
      </c>
      <c r="E227" s="94" t="s">
        <v>500</v>
      </c>
      <c r="F227" s="101">
        <v>17.010000000000002</v>
      </c>
      <c r="G227" s="94" t="s">
        <v>529</v>
      </c>
      <c r="H227" s="101">
        <v>40.82</v>
      </c>
      <c r="I227" s="94" t="s">
        <v>545</v>
      </c>
      <c r="J227" s="89">
        <v>36.67</v>
      </c>
      <c r="K227" s="94" t="s">
        <v>551</v>
      </c>
      <c r="L227" s="89">
        <v>35.81</v>
      </c>
      <c r="M227" s="94" t="s">
        <v>559</v>
      </c>
      <c r="N227" s="89">
        <v>31.91</v>
      </c>
      <c r="O227" s="94" t="s">
        <v>569</v>
      </c>
      <c r="P227" s="89"/>
      <c r="Q227" s="94" t="s">
        <v>572</v>
      </c>
      <c r="R227" s="89"/>
      <c r="S227" s="94" t="s">
        <v>584</v>
      </c>
      <c r="T227" s="89"/>
      <c r="U227" s="94" t="s">
        <v>597</v>
      </c>
      <c r="V227" s="89"/>
      <c r="W227" s="94" t="s">
        <v>601</v>
      </c>
      <c r="X227" s="89"/>
      <c r="Y227" s="94" t="s">
        <v>617</v>
      </c>
      <c r="Z227" s="89"/>
    </row>
    <row r="228" spans="1:26" s="1" customFormat="1" hidden="1" x14ac:dyDescent="0.25">
      <c r="A228" s="95" t="s">
        <v>472</v>
      </c>
      <c r="B228" s="86" t="s">
        <v>478</v>
      </c>
      <c r="C228" s="90" t="s">
        <v>483</v>
      </c>
      <c r="D228" s="91">
        <v>15.11</v>
      </c>
      <c r="E228" s="87" t="s">
        <v>512</v>
      </c>
      <c r="F228" s="102">
        <v>15.81</v>
      </c>
      <c r="G228" s="87" t="s">
        <v>530</v>
      </c>
      <c r="H228" s="102">
        <v>37.94</v>
      </c>
      <c r="I228" s="87" t="s">
        <v>633</v>
      </c>
      <c r="J228" s="91">
        <v>34.15</v>
      </c>
      <c r="K228" s="87" t="s">
        <v>501</v>
      </c>
      <c r="L228" s="91">
        <v>33.61</v>
      </c>
      <c r="M228" s="87" t="s">
        <v>643</v>
      </c>
      <c r="N228" s="91">
        <v>29.61</v>
      </c>
      <c r="O228" s="87" t="s">
        <v>656</v>
      </c>
      <c r="P228" s="91"/>
      <c r="Q228" s="87" t="s">
        <v>573</v>
      </c>
      <c r="R228" s="91"/>
      <c r="S228" s="87" t="s">
        <v>585</v>
      </c>
      <c r="T228" s="91"/>
      <c r="U228" s="87" t="s">
        <v>670</v>
      </c>
      <c r="V228" s="91"/>
      <c r="W228" s="87" t="s">
        <v>602</v>
      </c>
      <c r="X228" s="91"/>
      <c r="Y228" s="87" t="s">
        <v>618</v>
      </c>
      <c r="Z228" s="91"/>
    </row>
    <row r="229" spans="1:26" s="1" customFormat="1" hidden="1" x14ac:dyDescent="0.25">
      <c r="A229" s="95" t="s">
        <v>471</v>
      </c>
      <c r="B229" s="86" t="s">
        <v>479</v>
      </c>
      <c r="C229" s="90" t="s">
        <v>484</v>
      </c>
      <c r="D229" s="91">
        <v>14.01</v>
      </c>
      <c r="E229" s="87" t="s">
        <v>520</v>
      </c>
      <c r="F229" s="102">
        <v>14.71</v>
      </c>
      <c r="G229" s="87" t="s">
        <v>531</v>
      </c>
      <c r="H229" s="102">
        <v>35.299999999999997</v>
      </c>
      <c r="I229" s="87" t="s">
        <v>560</v>
      </c>
      <c r="J229" s="91">
        <v>31.79</v>
      </c>
      <c r="K229" s="87" t="s">
        <v>513</v>
      </c>
      <c r="L229" s="91">
        <v>31.61</v>
      </c>
      <c r="M229" s="87" t="s">
        <v>644</v>
      </c>
      <c r="N229" s="91">
        <v>27.61</v>
      </c>
      <c r="O229" s="87" t="s">
        <v>657</v>
      </c>
      <c r="P229" s="91"/>
      <c r="Q229" s="87" t="s">
        <v>574</v>
      </c>
      <c r="R229" s="91"/>
      <c r="S229" s="87" t="s">
        <v>586</v>
      </c>
      <c r="T229" s="91"/>
      <c r="U229" s="87" t="s">
        <v>502</v>
      </c>
      <c r="V229" s="91"/>
      <c r="W229" s="87" t="s">
        <v>603</v>
      </c>
      <c r="X229" s="91"/>
      <c r="Y229" s="87" t="s">
        <v>619</v>
      </c>
      <c r="Z229" s="91"/>
    </row>
    <row r="230" spans="1:26" s="1" customFormat="1" hidden="1" x14ac:dyDescent="0.25">
      <c r="A230" s="96"/>
      <c r="B230" s="97" t="s">
        <v>480</v>
      </c>
      <c r="C230" s="98" t="s">
        <v>486</v>
      </c>
      <c r="D230" s="99">
        <v>13.31</v>
      </c>
      <c r="E230" s="100" t="s">
        <v>521</v>
      </c>
      <c r="F230" s="103">
        <v>14.01</v>
      </c>
      <c r="G230" s="100" t="s">
        <v>532</v>
      </c>
      <c r="H230" s="103">
        <v>33.619999999999997</v>
      </c>
      <c r="I230" s="100" t="s">
        <v>570</v>
      </c>
      <c r="J230" s="99">
        <v>30.36</v>
      </c>
      <c r="K230" s="100" t="s">
        <v>671</v>
      </c>
      <c r="L230" s="99">
        <v>30.41</v>
      </c>
      <c r="M230" s="100" t="s">
        <v>645</v>
      </c>
      <c r="N230" s="99">
        <v>26.41</v>
      </c>
      <c r="O230" s="100" t="s">
        <v>658</v>
      </c>
      <c r="P230" s="99"/>
      <c r="Q230" s="100" t="s">
        <v>575</v>
      </c>
      <c r="R230" s="99"/>
      <c r="S230" s="100" t="s">
        <v>587</v>
      </c>
      <c r="T230" s="99"/>
      <c r="U230" s="100" t="s">
        <v>677</v>
      </c>
      <c r="V230" s="99"/>
      <c r="W230" s="100" t="s">
        <v>604</v>
      </c>
      <c r="X230" s="99"/>
      <c r="Y230" s="100" t="s">
        <v>620</v>
      </c>
      <c r="Z230" s="99"/>
    </row>
    <row r="231" spans="1:26" s="1" customFormat="1" hidden="1" x14ac:dyDescent="0.25">
      <c r="B231" s="1" t="s">
        <v>477</v>
      </c>
      <c r="C231" s="80" t="s">
        <v>487</v>
      </c>
      <c r="D231" s="69">
        <v>18.21</v>
      </c>
      <c r="E231" s="68" t="s">
        <v>503</v>
      </c>
      <c r="F231" s="83">
        <v>18.11</v>
      </c>
      <c r="G231" s="68" t="s">
        <v>533</v>
      </c>
      <c r="H231" s="83">
        <v>33.5</v>
      </c>
      <c r="I231" s="68" t="s">
        <v>634</v>
      </c>
      <c r="J231" s="69">
        <v>37.32</v>
      </c>
      <c r="K231" s="68" t="s">
        <v>672</v>
      </c>
      <c r="L231" s="69">
        <v>31.61</v>
      </c>
      <c r="M231" s="68" t="s">
        <v>646</v>
      </c>
      <c r="N231" s="69">
        <v>26.11</v>
      </c>
      <c r="O231" s="68" t="s">
        <v>659</v>
      </c>
      <c r="P231" s="69"/>
      <c r="Q231" s="68" t="s">
        <v>561</v>
      </c>
      <c r="R231" s="69"/>
      <c r="S231" s="68" t="s">
        <v>588</v>
      </c>
      <c r="T231" s="69"/>
      <c r="U231" s="68" t="s">
        <v>598</v>
      </c>
      <c r="V231" s="69"/>
      <c r="W231" s="68" t="s">
        <v>605</v>
      </c>
      <c r="X231" s="69"/>
      <c r="Y231" s="68" t="s">
        <v>621</v>
      </c>
      <c r="Z231" s="69"/>
    </row>
    <row r="232" spans="1:26" s="1" customFormat="1" hidden="1" x14ac:dyDescent="0.25">
      <c r="A232" s="1" t="s">
        <v>473</v>
      </c>
      <c r="B232" s="1" t="s">
        <v>478</v>
      </c>
      <c r="C232" s="80" t="s">
        <v>488</v>
      </c>
      <c r="D232" s="69">
        <v>17.41</v>
      </c>
      <c r="E232" s="68" t="s">
        <v>514</v>
      </c>
      <c r="F232" s="83">
        <v>17.61</v>
      </c>
      <c r="G232" s="68" t="s">
        <v>534</v>
      </c>
      <c r="H232" s="83">
        <v>32.58</v>
      </c>
      <c r="I232" s="68" t="s">
        <v>546</v>
      </c>
      <c r="J232" s="69">
        <v>36.49</v>
      </c>
      <c r="K232" s="68" t="s">
        <v>504</v>
      </c>
      <c r="L232" s="69">
        <v>30.51</v>
      </c>
      <c r="M232" s="68" t="s">
        <v>647</v>
      </c>
      <c r="N232" s="69">
        <v>24.31</v>
      </c>
      <c r="O232" s="68" t="s">
        <v>562</v>
      </c>
      <c r="P232" s="69"/>
      <c r="Q232" s="68" t="s">
        <v>576</v>
      </c>
      <c r="R232" s="69"/>
      <c r="S232" s="68" t="s">
        <v>589</v>
      </c>
      <c r="T232" s="69"/>
      <c r="U232" s="68" t="s">
        <v>681</v>
      </c>
      <c r="V232" s="69"/>
      <c r="W232" s="68" t="s">
        <v>606</v>
      </c>
      <c r="X232" s="69"/>
      <c r="Y232" s="68" t="s">
        <v>622</v>
      </c>
      <c r="Z232" s="69"/>
    </row>
    <row r="233" spans="1:26" s="1" customFormat="1" hidden="1" x14ac:dyDescent="0.25">
      <c r="A233" s="1" t="s">
        <v>392</v>
      </c>
      <c r="B233" s="1" t="s">
        <v>479</v>
      </c>
      <c r="C233" s="80" t="s">
        <v>489</v>
      </c>
      <c r="D233" s="69">
        <v>16.809999999999999</v>
      </c>
      <c r="E233" s="68" t="s">
        <v>485</v>
      </c>
      <c r="F233" s="83">
        <v>17.11</v>
      </c>
      <c r="G233" s="68" t="s">
        <v>535</v>
      </c>
      <c r="H233" s="83">
        <v>31.65</v>
      </c>
      <c r="I233" s="68" t="s">
        <v>635</v>
      </c>
      <c r="J233" s="69">
        <v>35.67</v>
      </c>
      <c r="K233" s="68" t="s">
        <v>515</v>
      </c>
      <c r="L233" s="69">
        <v>29.51</v>
      </c>
      <c r="M233" s="68" t="s">
        <v>563</v>
      </c>
      <c r="N233" s="69">
        <v>22.71</v>
      </c>
      <c r="O233" s="68" t="s">
        <v>571</v>
      </c>
      <c r="P233" s="69"/>
      <c r="Q233" s="68" t="s">
        <v>547</v>
      </c>
      <c r="R233" s="69"/>
      <c r="S233" s="68" t="s">
        <v>590</v>
      </c>
      <c r="T233" s="69"/>
      <c r="U233" s="68" t="s">
        <v>505</v>
      </c>
      <c r="V233" s="69"/>
      <c r="W233" s="68" t="s">
        <v>607</v>
      </c>
      <c r="X233" s="69"/>
      <c r="Y233" s="68" t="s">
        <v>623</v>
      </c>
      <c r="Z233" s="69"/>
    </row>
    <row r="234" spans="1:26" s="1" customFormat="1" hidden="1" x14ac:dyDescent="0.25">
      <c r="B234" s="1" t="s">
        <v>480</v>
      </c>
      <c r="C234" s="80" t="s">
        <v>490</v>
      </c>
      <c r="D234" s="69">
        <v>16.309999999999999</v>
      </c>
      <c r="E234" s="68" t="s">
        <v>522</v>
      </c>
      <c r="F234" s="83">
        <v>16.71</v>
      </c>
      <c r="G234" s="68" t="s">
        <v>536</v>
      </c>
      <c r="H234" s="83">
        <v>30.91</v>
      </c>
      <c r="I234" s="68" t="s">
        <v>636</v>
      </c>
      <c r="J234" s="69">
        <v>35.159999999999997</v>
      </c>
      <c r="K234" s="68" t="s">
        <v>673</v>
      </c>
      <c r="L234" s="69">
        <v>28.81</v>
      </c>
      <c r="M234" s="68" t="s">
        <v>564</v>
      </c>
      <c r="N234" s="69">
        <v>21.71</v>
      </c>
      <c r="O234" s="68" t="s">
        <v>660</v>
      </c>
      <c r="P234" s="69"/>
      <c r="Q234" s="68" t="s">
        <v>577</v>
      </c>
      <c r="R234" s="69"/>
      <c r="S234" s="68" t="s">
        <v>591</v>
      </c>
      <c r="T234" s="69"/>
      <c r="U234" s="68" t="s">
        <v>678</v>
      </c>
      <c r="V234" s="69"/>
      <c r="W234" s="68" t="s">
        <v>608</v>
      </c>
      <c r="X234" s="69"/>
      <c r="Y234" s="68" t="s">
        <v>624</v>
      </c>
      <c r="Z234" s="69"/>
    </row>
    <row r="235" spans="1:26" s="1" customFormat="1" hidden="1" x14ac:dyDescent="0.25">
      <c r="A235" s="92"/>
      <c r="B235" s="93" t="s">
        <v>477</v>
      </c>
      <c r="C235" s="88" t="s">
        <v>491</v>
      </c>
      <c r="D235" s="89">
        <v>21.31</v>
      </c>
      <c r="E235" s="94" t="s">
        <v>506</v>
      </c>
      <c r="F235" s="101">
        <v>22.61</v>
      </c>
      <c r="G235" s="94" t="s">
        <v>537</v>
      </c>
      <c r="H235" s="101">
        <v>33.58</v>
      </c>
      <c r="I235" s="94" t="s">
        <v>637</v>
      </c>
      <c r="J235" s="89">
        <v>36.53</v>
      </c>
      <c r="K235" s="94" t="s">
        <v>674</v>
      </c>
      <c r="L235" s="89">
        <v>37.81</v>
      </c>
      <c r="M235" s="94" t="s">
        <v>648</v>
      </c>
      <c r="N235" s="89">
        <v>34.25</v>
      </c>
      <c r="O235" s="94" t="s">
        <v>661</v>
      </c>
      <c r="P235" s="89"/>
      <c r="Q235" s="94" t="s">
        <v>578</v>
      </c>
      <c r="R235" s="89"/>
      <c r="S235" s="94" t="s">
        <v>592</v>
      </c>
      <c r="T235" s="89"/>
      <c r="U235" s="94" t="s">
        <v>599</v>
      </c>
      <c r="V235" s="89"/>
      <c r="W235" s="94" t="s">
        <v>609</v>
      </c>
      <c r="X235" s="89"/>
      <c r="Y235" s="94" t="s">
        <v>625</v>
      </c>
      <c r="Z235" s="89"/>
    </row>
    <row r="236" spans="1:26" s="1" customFormat="1" hidden="1" x14ac:dyDescent="0.25">
      <c r="A236" s="95" t="s">
        <v>474</v>
      </c>
      <c r="B236" s="86" t="s">
        <v>478</v>
      </c>
      <c r="C236" s="90" t="s">
        <v>492</v>
      </c>
      <c r="D236" s="91">
        <v>21.11</v>
      </c>
      <c r="E236" s="87" t="s">
        <v>516</v>
      </c>
      <c r="F236" s="102">
        <v>21.01</v>
      </c>
      <c r="G236" s="87" t="s">
        <v>538</v>
      </c>
      <c r="H236" s="102">
        <v>31.2</v>
      </c>
      <c r="I236" s="87" t="s">
        <v>638</v>
      </c>
      <c r="J236" s="91">
        <v>34.03</v>
      </c>
      <c r="K236" s="87" t="s">
        <v>507</v>
      </c>
      <c r="L236" s="102">
        <v>36.9</v>
      </c>
      <c r="M236" s="87" t="s">
        <v>649</v>
      </c>
      <c r="N236" s="91">
        <v>33.43</v>
      </c>
      <c r="O236" s="87" t="s">
        <v>662</v>
      </c>
      <c r="P236" s="91"/>
      <c r="Q236" s="87" t="s">
        <v>579</v>
      </c>
      <c r="R236" s="91"/>
      <c r="S236" s="87" t="s">
        <v>593</v>
      </c>
      <c r="T236" s="91"/>
      <c r="U236" s="87" t="s">
        <v>682</v>
      </c>
      <c r="V236" s="91"/>
      <c r="W236" s="87" t="s">
        <v>610</v>
      </c>
      <c r="X236" s="91"/>
      <c r="Y236" s="87" t="s">
        <v>626</v>
      </c>
      <c r="Z236" s="91"/>
    </row>
    <row r="237" spans="1:26" s="1" customFormat="1" hidden="1" x14ac:dyDescent="0.25">
      <c r="A237" s="95" t="s">
        <v>393</v>
      </c>
      <c r="B237" s="86" t="s">
        <v>479</v>
      </c>
      <c r="C237" s="90" t="s">
        <v>493</v>
      </c>
      <c r="D237" s="91">
        <v>19.11</v>
      </c>
      <c r="E237" s="87" t="s">
        <v>523</v>
      </c>
      <c r="F237" s="102">
        <v>19.71</v>
      </c>
      <c r="G237" s="87" t="s">
        <v>539</v>
      </c>
      <c r="H237" s="102">
        <v>29.27</v>
      </c>
      <c r="I237" s="87" t="s">
        <v>639</v>
      </c>
      <c r="J237" s="91">
        <v>31.94</v>
      </c>
      <c r="K237" s="87" t="s">
        <v>517</v>
      </c>
      <c r="L237" s="91">
        <v>36.14</v>
      </c>
      <c r="M237" s="87" t="s">
        <v>650</v>
      </c>
      <c r="N237" s="91">
        <v>32.75</v>
      </c>
      <c r="O237" s="87" t="s">
        <v>663</v>
      </c>
      <c r="P237" s="91"/>
      <c r="Q237" s="87" t="s">
        <v>580</v>
      </c>
      <c r="R237" s="91"/>
      <c r="S237" s="87" t="s">
        <v>565</v>
      </c>
      <c r="T237" s="91"/>
      <c r="U237" s="87" t="s">
        <v>508</v>
      </c>
      <c r="V237" s="91"/>
      <c r="W237" s="87" t="s">
        <v>611</v>
      </c>
      <c r="X237" s="91"/>
      <c r="Y237" s="87" t="s">
        <v>627</v>
      </c>
      <c r="Z237" s="91"/>
    </row>
    <row r="238" spans="1:26" s="1" customFormat="1" hidden="1" x14ac:dyDescent="0.25">
      <c r="A238" s="96"/>
      <c r="B238" s="97" t="s">
        <v>480</v>
      </c>
      <c r="C238" s="98" t="s">
        <v>494</v>
      </c>
      <c r="D238" s="99">
        <v>18.41</v>
      </c>
      <c r="E238" s="100" t="s">
        <v>524</v>
      </c>
      <c r="F238" s="103">
        <v>18.809999999999999</v>
      </c>
      <c r="G238" s="100" t="s">
        <v>540</v>
      </c>
      <c r="H238" s="103">
        <v>27.93</v>
      </c>
      <c r="I238" s="100" t="s">
        <v>548</v>
      </c>
      <c r="J238" s="99">
        <v>30.54</v>
      </c>
      <c r="K238" s="100" t="s">
        <v>675</v>
      </c>
      <c r="L238" s="99">
        <v>35.54</v>
      </c>
      <c r="M238" s="100" t="s">
        <v>651</v>
      </c>
      <c r="N238" s="99">
        <v>32.340000000000003</v>
      </c>
      <c r="O238" s="100" t="s">
        <v>664</v>
      </c>
      <c r="P238" s="99"/>
      <c r="Q238" s="100" t="s">
        <v>566</v>
      </c>
      <c r="R238" s="99"/>
      <c r="S238" s="100" t="s">
        <v>594</v>
      </c>
      <c r="T238" s="99"/>
      <c r="U238" s="100" t="s">
        <v>679</v>
      </c>
      <c r="V238" s="99"/>
      <c r="W238" s="100" t="s">
        <v>612</v>
      </c>
      <c r="X238" s="99"/>
      <c r="Y238" s="100" t="s">
        <v>628</v>
      </c>
      <c r="Z238" s="99"/>
    </row>
    <row r="239" spans="1:26" s="1" customFormat="1" hidden="1" x14ac:dyDescent="0.25">
      <c r="B239" s="1" t="s">
        <v>477</v>
      </c>
      <c r="C239" s="80" t="s">
        <v>495</v>
      </c>
      <c r="D239" s="69">
        <v>21.11</v>
      </c>
      <c r="E239" s="68" t="s">
        <v>509</v>
      </c>
      <c r="F239" s="83">
        <v>22.51</v>
      </c>
      <c r="G239" s="68" t="s">
        <v>541</v>
      </c>
      <c r="H239" s="83">
        <v>22.51</v>
      </c>
      <c r="I239" s="68" t="s">
        <v>640</v>
      </c>
      <c r="J239" s="69">
        <v>25.91</v>
      </c>
      <c r="K239" s="68" t="s">
        <v>669</v>
      </c>
      <c r="L239" s="69">
        <v>39.61</v>
      </c>
      <c r="M239" s="68" t="s">
        <v>652</v>
      </c>
      <c r="N239" s="69">
        <v>29.91</v>
      </c>
      <c r="O239" s="68" t="s">
        <v>665</v>
      </c>
      <c r="P239" s="69"/>
      <c r="Q239" s="68" t="s">
        <v>581</v>
      </c>
      <c r="R239" s="69"/>
      <c r="S239" s="68" t="s">
        <v>595</v>
      </c>
      <c r="T239" s="69"/>
      <c r="U239" s="68" t="s">
        <v>600</v>
      </c>
      <c r="V239" s="69"/>
      <c r="W239" s="68" t="s">
        <v>613</v>
      </c>
      <c r="X239" s="69"/>
      <c r="Y239" s="68" t="s">
        <v>629</v>
      </c>
      <c r="Z239" s="69"/>
    </row>
    <row r="240" spans="1:26" s="1" customFormat="1" hidden="1" x14ac:dyDescent="0.25">
      <c r="A240" s="1" t="s">
        <v>475</v>
      </c>
      <c r="B240" s="1" t="s">
        <v>478</v>
      </c>
      <c r="C240" s="80" t="s">
        <v>496</v>
      </c>
      <c r="D240" s="69">
        <v>20.21</v>
      </c>
      <c r="E240" s="68" t="s">
        <v>518</v>
      </c>
      <c r="F240" s="83">
        <v>21.61</v>
      </c>
      <c r="G240" s="68" t="s">
        <v>542</v>
      </c>
      <c r="H240" s="83">
        <v>21.61</v>
      </c>
      <c r="I240" s="68" t="s">
        <v>641</v>
      </c>
      <c r="J240" s="69">
        <v>25.01</v>
      </c>
      <c r="K240" s="68" t="s">
        <v>510</v>
      </c>
      <c r="L240" s="69">
        <v>38.11</v>
      </c>
      <c r="M240" s="68" t="s">
        <v>653</v>
      </c>
      <c r="N240" s="69">
        <v>29.01</v>
      </c>
      <c r="O240" s="68" t="s">
        <v>666</v>
      </c>
      <c r="P240" s="69"/>
      <c r="Q240" s="68" t="s">
        <v>582</v>
      </c>
      <c r="R240" s="69"/>
      <c r="S240" s="68" t="s">
        <v>596</v>
      </c>
      <c r="T240" s="69"/>
      <c r="U240" s="68" t="s">
        <v>683</v>
      </c>
      <c r="V240" s="69"/>
      <c r="W240" s="68" t="s">
        <v>614</v>
      </c>
      <c r="X240" s="69"/>
      <c r="Y240" s="68" t="s">
        <v>630</v>
      </c>
      <c r="Z240" s="69"/>
    </row>
    <row r="241" spans="1:26" s="1" customFormat="1" hidden="1" x14ac:dyDescent="0.25">
      <c r="A241" s="1" t="s">
        <v>476</v>
      </c>
      <c r="B241" s="1" t="s">
        <v>479</v>
      </c>
      <c r="C241" s="80" t="s">
        <v>497</v>
      </c>
      <c r="D241" s="69">
        <v>19.41</v>
      </c>
      <c r="E241" s="68" t="s">
        <v>525</v>
      </c>
      <c r="F241" s="83">
        <v>20.81</v>
      </c>
      <c r="G241" s="68" t="s">
        <v>543</v>
      </c>
      <c r="H241" s="83">
        <v>20.81</v>
      </c>
      <c r="I241" s="68" t="s">
        <v>549</v>
      </c>
      <c r="J241" s="69">
        <v>24.21</v>
      </c>
      <c r="K241" s="68" t="s">
        <v>519</v>
      </c>
      <c r="L241" s="69">
        <v>36.81</v>
      </c>
      <c r="M241" s="68" t="s">
        <v>654</v>
      </c>
      <c r="N241" s="69">
        <v>28.21</v>
      </c>
      <c r="O241" s="68" t="s">
        <v>667</v>
      </c>
      <c r="P241" s="69"/>
      <c r="Q241" s="68" t="s">
        <v>583</v>
      </c>
      <c r="R241" s="69"/>
      <c r="S241" s="68" t="s">
        <v>567</v>
      </c>
      <c r="T241" s="69"/>
      <c r="U241" s="68" t="s">
        <v>511</v>
      </c>
      <c r="V241" s="69"/>
      <c r="W241" s="68" t="s">
        <v>615</v>
      </c>
      <c r="X241" s="69"/>
      <c r="Y241" s="68" t="s">
        <v>631</v>
      </c>
      <c r="Z241" s="69"/>
    </row>
    <row r="242" spans="1:26" s="1" customFormat="1" hidden="1" x14ac:dyDescent="0.25">
      <c r="A242" s="22"/>
      <c r="B242" s="22" t="s">
        <v>480</v>
      </c>
      <c r="C242" s="81" t="s">
        <v>498</v>
      </c>
      <c r="D242" s="71">
        <v>18.91</v>
      </c>
      <c r="E242" s="70" t="s">
        <v>526</v>
      </c>
      <c r="F242" s="85">
        <v>20.309999999999999</v>
      </c>
      <c r="G242" s="70" t="s">
        <v>544</v>
      </c>
      <c r="H242" s="85">
        <v>20.309999999999999</v>
      </c>
      <c r="I242" s="70" t="s">
        <v>642</v>
      </c>
      <c r="J242" s="71">
        <v>23.71</v>
      </c>
      <c r="K242" s="70" t="s">
        <v>676</v>
      </c>
      <c r="L242" s="71">
        <v>36.01</v>
      </c>
      <c r="M242" s="70" t="s">
        <v>655</v>
      </c>
      <c r="N242" s="71">
        <v>27.71</v>
      </c>
      <c r="O242" s="70" t="s">
        <v>668</v>
      </c>
      <c r="P242" s="71"/>
      <c r="Q242" s="70" t="s">
        <v>568</v>
      </c>
      <c r="R242" s="71"/>
      <c r="S242" s="70" t="s">
        <v>550</v>
      </c>
      <c r="T242" s="71"/>
      <c r="U242" s="70" t="s">
        <v>680</v>
      </c>
      <c r="V242" s="71"/>
      <c r="W242" s="70" t="s">
        <v>616</v>
      </c>
      <c r="X242" s="71"/>
      <c r="Y242" s="70" t="s">
        <v>632</v>
      </c>
      <c r="Z242" s="71"/>
    </row>
    <row r="243" spans="1:26" hidden="1" x14ac:dyDescent="0.25">
      <c r="F243" s="28"/>
    </row>
    <row r="244" spans="1:26" hidden="1" x14ac:dyDescent="0.25">
      <c r="A244" s="42" t="s">
        <v>922</v>
      </c>
      <c r="B244" s="42"/>
      <c r="C244" s="42"/>
      <c r="D244" s="42"/>
      <c r="E244" s="42"/>
      <c r="F244" s="104"/>
      <c r="G244" s="33"/>
      <c r="H244" s="33"/>
      <c r="I244" s="33"/>
      <c r="J244" s="33"/>
      <c r="K244" s="398" t="s">
        <v>1102</v>
      </c>
      <c r="L244" s="33"/>
      <c r="M244" s="33"/>
      <c r="N244" s="33"/>
      <c r="O244" s="33"/>
      <c r="P244" s="33"/>
      <c r="Q244" s="33"/>
      <c r="R244" s="33"/>
      <c r="S244" s="33"/>
      <c r="T244" s="33"/>
    </row>
    <row r="245" spans="1:26" hidden="1" x14ac:dyDescent="0.25">
      <c r="F245" s="28"/>
      <c r="K245" s="19"/>
    </row>
    <row r="246" spans="1:26" hidden="1" x14ac:dyDescent="0.25">
      <c r="A246" s="3" t="s">
        <v>758</v>
      </c>
      <c r="F246" s="28"/>
      <c r="K246" s="810" t="s">
        <v>1103</v>
      </c>
      <c r="L246" s="811"/>
      <c r="M246" s="811"/>
      <c r="N246" s="811"/>
      <c r="O246" s="811"/>
    </row>
    <row r="247" spans="1:26" hidden="1" x14ac:dyDescent="0.25">
      <c r="F247" s="28"/>
      <c r="K247" s="810"/>
      <c r="L247" s="811"/>
      <c r="M247" s="811"/>
      <c r="N247" s="811"/>
      <c r="O247" s="811"/>
    </row>
    <row r="248" spans="1:26" hidden="1" x14ac:dyDescent="0.25">
      <c r="A248" s="3">
        <v>2019</v>
      </c>
      <c r="B248" s="108" t="e">
        <f>IF(D183=1,VLOOKUP(D217,C227:D242,2,FALSE),"#")</f>
        <v>#N/A</v>
      </c>
      <c r="F248" s="28"/>
      <c r="K248" s="19"/>
    </row>
    <row r="249" spans="1:26" hidden="1" x14ac:dyDescent="0.25">
      <c r="A249" s="3">
        <v>2020</v>
      </c>
      <c r="B249" s="108" t="e">
        <f>IF(D183=2,VLOOKUP(D217,E227:F242,2,FALSE),"#")</f>
        <v>#N/A</v>
      </c>
      <c r="F249" s="28"/>
      <c r="K249" s="19"/>
    </row>
    <row r="250" spans="1:26" hidden="1" x14ac:dyDescent="0.25">
      <c r="A250" s="340" t="s">
        <v>1042</v>
      </c>
      <c r="B250" s="108" t="e">
        <f>IF(D183=3,VLOOKUP(D217,G227:H242,2,FALSE),"#")</f>
        <v>#N/A</v>
      </c>
      <c r="F250" s="28"/>
      <c r="K250" s="19"/>
    </row>
    <row r="251" spans="1:26" hidden="1" x14ac:dyDescent="0.25">
      <c r="A251" s="355" t="s">
        <v>1055</v>
      </c>
      <c r="B251" s="108" t="e">
        <f>IF(D183=4,VLOOKUP(D217,I227:J242,2,FALSE),"#")</f>
        <v>#N/A</v>
      </c>
      <c r="F251" s="28"/>
      <c r="K251" s="19"/>
    </row>
    <row r="252" spans="1:26" hidden="1" x14ac:dyDescent="0.25">
      <c r="A252" s="604" t="s">
        <v>1411</v>
      </c>
      <c r="B252" s="108" t="e">
        <f>IF(D183=5,VLOOKUP(D217,K227:L242,2,FALSE),"#")</f>
        <v>#N/A</v>
      </c>
      <c r="F252" s="28"/>
      <c r="K252" s="19"/>
    </row>
    <row r="253" spans="1:26" hidden="1" x14ac:dyDescent="0.25">
      <c r="A253" s="3">
        <v>2024</v>
      </c>
      <c r="B253" s="108" t="e">
        <f>IF(D183=6,VLOOKUP(D217,M227:N242,2,FALSE),"#")</f>
        <v>#N/A</v>
      </c>
      <c r="F253" s="28"/>
      <c r="K253" s="19"/>
    </row>
    <row r="254" spans="1:26" hidden="1" x14ac:dyDescent="0.25">
      <c r="A254" s="3">
        <v>2025</v>
      </c>
      <c r="B254" s="108" t="e">
        <f>IF(D183=7,VLOOKUP(D217,O227:P242,2,FALSE),"#")</f>
        <v>#N/A</v>
      </c>
      <c r="F254" s="28"/>
      <c r="K254" s="19"/>
    </row>
    <row r="255" spans="1:26" hidden="1" x14ac:dyDescent="0.25">
      <c r="A255" s="3">
        <v>2026</v>
      </c>
      <c r="B255" s="108" t="e">
        <f>IF(D183=8,VLOOKUP(D217,Q227:R242,2,FALSE),"#")</f>
        <v>#N/A</v>
      </c>
      <c r="F255" s="28"/>
      <c r="K255" s="19"/>
    </row>
    <row r="256" spans="1:26" hidden="1" x14ac:dyDescent="0.25">
      <c r="A256" s="3">
        <v>2027</v>
      </c>
      <c r="B256" s="108" t="e">
        <f>IF(D183=9,VLOOKUP(D217,S227:T242,2,FALSE),"#")</f>
        <v>#N/A</v>
      </c>
      <c r="F256" s="28"/>
      <c r="K256" s="19"/>
    </row>
    <row r="257" spans="1:26" hidden="1" x14ac:dyDescent="0.25">
      <c r="A257" s="3">
        <v>2028</v>
      </c>
      <c r="B257" s="108" t="e">
        <f>IF(D183=10,VLOOKUP(D217,U227:V242,2,FALSE),"#")</f>
        <v>#N/A</v>
      </c>
      <c r="F257" s="28"/>
      <c r="K257" s="19"/>
    </row>
    <row r="258" spans="1:26" hidden="1" x14ac:dyDescent="0.25">
      <c r="A258" s="3">
        <v>2029</v>
      </c>
      <c r="B258" s="108" t="e">
        <f>IF(D183=11,VLOOKUP(D217,W227:X242,2,FALSE),"#")</f>
        <v>#N/A</v>
      </c>
      <c r="F258" s="28"/>
      <c r="K258" s="19"/>
    </row>
    <row r="259" spans="1:26" hidden="1" x14ac:dyDescent="0.25">
      <c r="A259" s="3">
        <v>2030</v>
      </c>
      <c r="B259" s="108" t="e">
        <f>IF(D183=12,VLOOKUP(D217,Y227:Z242,2,FALSE),"#")</f>
        <v>#N/A</v>
      </c>
      <c r="F259" s="28"/>
      <c r="K259" s="19"/>
    </row>
    <row r="260" spans="1:26" hidden="1" x14ac:dyDescent="0.25">
      <c r="F260" s="28"/>
      <c r="K260" s="19"/>
    </row>
    <row r="261" spans="1:26" hidden="1" x14ac:dyDescent="0.25">
      <c r="A261" s="36" t="s">
        <v>685</v>
      </c>
      <c r="B261" s="36"/>
      <c r="C261" s="36"/>
      <c r="D261" s="36"/>
      <c r="E261" s="36"/>
      <c r="F261" s="36"/>
      <c r="G261" s="36"/>
      <c r="H261" s="51" t="e">
        <f>IF(B248&lt;&gt;"#",B248,IF(B249&lt;&gt;"#",B249,IF(B250&lt;&gt;"#",B250,IF(B251&lt;&gt;"#",B251,IF(B252&lt;&gt;"#",B252,IF(B253&lt;&gt;"#",B253,IF(B254&lt;&gt;"#",B254,IF(B255&lt;&gt;"#",B255,IF(B256&lt;&gt;"#",B256,IF(B257&lt;&gt;"#",B257,IF(B258&lt;&gt;"#",B258,IF(B259&lt;&gt;"#",B259,0))))))))))))</f>
        <v>#N/A</v>
      </c>
      <c r="I261" s="79" t="s">
        <v>371</v>
      </c>
      <c r="J261" s="36"/>
      <c r="K261" s="19"/>
    </row>
    <row r="262" spans="1:26" hidden="1" x14ac:dyDescent="0.25">
      <c r="F262" s="28"/>
      <c r="K262" s="19"/>
    </row>
    <row r="263" spans="1:26" hidden="1" x14ac:dyDescent="0.25">
      <c r="A263" s="5" t="s">
        <v>1052</v>
      </c>
      <c r="B263" s="5"/>
      <c r="C263" s="5"/>
      <c r="D263" s="5"/>
      <c r="E263" s="5"/>
      <c r="F263" s="6"/>
      <c r="G263" s="144" t="e">
        <f>(H261*D135)/D86</f>
        <v>#N/A</v>
      </c>
      <c r="K263" s="12" t="s">
        <v>1104</v>
      </c>
      <c r="L263" s="5"/>
      <c r="M263" s="5"/>
      <c r="N263" s="5"/>
      <c r="O263" s="5"/>
      <c r="P263" s="6"/>
      <c r="Q263" s="144" t="e">
        <f>(H261*L135)/D86</f>
        <v>#N/A</v>
      </c>
      <c r="V263" s="404" t="s">
        <v>1107</v>
      </c>
      <c r="W263" s="404"/>
      <c r="X263" s="404"/>
      <c r="Y263" s="404"/>
      <c r="Z263" s="405" t="e">
        <f>(H261*O135)/12</f>
        <v>#N/A</v>
      </c>
    </row>
    <row r="264" spans="1:26" hidden="1" x14ac:dyDescent="0.25">
      <c r="F264" s="28"/>
      <c r="K264" s="19"/>
      <c r="V264" s="404"/>
      <c r="W264" s="404"/>
      <c r="X264" s="404"/>
      <c r="Y264" s="404"/>
      <c r="Z264" s="404"/>
    </row>
    <row r="265" spans="1:26" hidden="1" x14ac:dyDescent="0.25">
      <c r="A265" s="79" t="e">
        <f>H261&amp;" €"</f>
        <v>#N/A</v>
      </c>
      <c r="B265" s="105" t="s">
        <v>402</v>
      </c>
      <c r="C265" s="79" t="e">
        <f>D135&amp;" m²"</f>
        <v>#N/A</v>
      </c>
      <c r="D265" s="106" t="s">
        <v>686</v>
      </c>
      <c r="E265" s="527" t="str">
        <f>D86</f>
        <v>nicht ausgewählt</v>
      </c>
      <c r="F265" s="107" t="s">
        <v>687</v>
      </c>
      <c r="G265" s="51" t="e">
        <f>G263</f>
        <v>#N/A</v>
      </c>
      <c r="H265" s="36"/>
      <c r="I265" s="36"/>
      <c r="J265" s="79" t="s">
        <v>688</v>
      </c>
      <c r="K265" s="402" t="e">
        <f>H261&amp;" €"</f>
        <v>#N/A</v>
      </c>
      <c r="L265" s="105" t="s">
        <v>402</v>
      </c>
      <c r="M265" s="79" t="str">
        <f>L135&amp;" m²"</f>
        <v>0 m²</v>
      </c>
      <c r="N265" s="106" t="s">
        <v>686</v>
      </c>
      <c r="O265" s="527" t="str">
        <f>D86</f>
        <v>nicht ausgewählt</v>
      </c>
      <c r="P265" s="107" t="s">
        <v>687</v>
      </c>
      <c r="Q265" s="51" t="e">
        <f>Q263</f>
        <v>#N/A</v>
      </c>
      <c r="R265" s="36"/>
      <c r="S265" s="36"/>
      <c r="T265" s="79" t="s">
        <v>688</v>
      </c>
      <c r="V265" s="404" t="s">
        <v>1108</v>
      </c>
      <c r="W265" s="404"/>
      <c r="X265" s="404"/>
      <c r="Y265" s="404"/>
      <c r="Z265" s="406" t="e">
        <f>Z263</f>
        <v>#N/A</v>
      </c>
    </row>
    <row r="266" spans="1:26" ht="47.25" hidden="1" customHeight="1" x14ac:dyDescent="0.25">
      <c r="F266" s="28"/>
      <c r="K266" s="19"/>
    </row>
    <row r="267" spans="1:26" ht="15" hidden="1" customHeight="1" x14ac:dyDescent="0.3">
      <c r="A267" s="37" t="s">
        <v>923</v>
      </c>
      <c r="B267" s="33"/>
      <c r="C267" s="33"/>
      <c r="D267" s="33"/>
      <c r="E267" s="33"/>
      <c r="F267" s="38"/>
      <c r="G267" s="33"/>
      <c r="H267" s="33"/>
      <c r="I267" s="33"/>
      <c r="J267" s="33"/>
      <c r="K267" s="33"/>
      <c r="L267" s="33"/>
      <c r="M267" s="33"/>
      <c r="N267" s="33"/>
      <c r="O267" s="33"/>
      <c r="P267" s="33"/>
      <c r="Q267" s="33"/>
      <c r="R267" s="33"/>
      <c r="S267" s="33"/>
      <c r="T267" s="33"/>
    </row>
    <row r="268" spans="1:26" ht="15" hidden="1" customHeight="1" x14ac:dyDescent="0.25">
      <c r="A268" s="116"/>
      <c r="B268" s="5"/>
      <c r="C268" s="5"/>
      <c r="D268" s="5"/>
      <c r="E268" s="5"/>
      <c r="F268" s="6"/>
      <c r="G268" s="5"/>
      <c r="H268" s="5"/>
      <c r="I268" s="5"/>
      <c r="J268" s="5"/>
      <c r="K268" s="5"/>
      <c r="L268" s="5"/>
      <c r="M268" s="5"/>
      <c r="N268" s="5"/>
      <c r="O268" s="5"/>
      <c r="P268" s="5"/>
      <c r="Q268" s="5"/>
      <c r="R268" s="5"/>
      <c r="S268" s="5"/>
      <c r="T268" s="5"/>
    </row>
    <row r="269" spans="1:26" ht="15" hidden="1" customHeight="1" x14ac:dyDescent="0.25">
      <c r="A269" s="42" t="s">
        <v>924</v>
      </c>
      <c r="B269" s="33"/>
      <c r="C269" s="33"/>
      <c r="D269" s="33"/>
      <c r="E269" s="33"/>
      <c r="F269" s="38"/>
      <c r="G269" s="33"/>
      <c r="H269" s="33"/>
      <c r="I269" s="33"/>
      <c r="J269" s="33"/>
      <c r="K269" s="33"/>
      <c r="L269" s="33"/>
      <c r="M269" s="33"/>
      <c r="N269" s="33"/>
      <c r="O269" s="33"/>
      <c r="P269" s="33"/>
      <c r="Q269" s="33"/>
      <c r="R269" s="33"/>
      <c r="S269" s="33"/>
      <c r="T269" s="33"/>
    </row>
    <row r="270" spans="1:26" ht="15" hidden="1" customHeight="1" x14ac:dyDescent="0.25">
      <c r="A270" s="5"/>
      <c r="B270" s="5"/>
      <c r="C270" s="5"/>
      <c r="D270" s="5"/>
      <c r="E270" s="5"/>
      <c r="F270" s="6"/>
      <c r="G270" s="5"/>
      <c r="H270" s="5"/>
      <c r="I270" s="5"/>
      <c r="J270" s="5"/>
      <c r="K270" s="5"/>
      <c r="L270" s="5"/>
      <c r="M270" s="5"/>
      <c r="N270" s="5"/>
      <c r="O270" s="5"/>
      <c r="P270" s="5"/>
      <c r="Q270" s="5"/>
      <c r="R270" s="5"/>
      <c r="S270" s="5"/>
      <c r="T270" s="5"/>
    </row>
    <row r="271" spans="1:26" ht="15" hidden="1" customHeight="1" x14ac:dyDescent="0.25">
      <c r="A271" s="43" t="s">
        <v>461</v>
      </c>
      <c r="B271" s="77" t="s">
        <v>457</v>
      </c>
      <c r="C271" s="790" t="s">
        <v>694</v>
      </c>
      <c r="D271" s="791"/>
      <c r="E271" s="114"/>
      <c r="F271" s="77" t="s">
        <v>462</v>
      </c>
      <c r="G271" s="78" t="s">
        <v>463</v>
      </c>
      <c r="H271" s="781" t="s">
        <v>925</v>
      </c>
      <c r="I271" s="782"/>
      <c r="J271" s="5"/>
      <c r="K271" s="5"/>
      <c r="L271" s="5"/>
      <c r="M271" s="5"/>
      <c r="N271" s="5"/>
      <c r="O271" s="5"/>
      <c r="P271" s="5"/>
      <c r="Q271" s="5"/>
      <c r="R271" s="5"/>
      <c r="S271" s="5"/>
      <c r="T271" s="5"/>
    </row>
    <row r="272" spans="1:26" ht="15" hidden="1" customHeight="1" x14ac:dyDescent="0.25">
      <c r="A272" s="75">
        <f>IF(AND(D113&gt;=F272,D113&lt;=G272),1,0)</f>
        <v>0</v>
      </c>
      <c r="B272" s="45">
        <v>1</v>
      </c>
      <c r="C272" s="792" t="s">
        <v>693</v>
      </c>
      <c r="D272" s="793"/>
      <c r="E272" s="76" t="s">
        <v>453</v>
      </c>
      <c r="F272" s="67">
        <v>43770</v>
      </c>
      <c r="G272" s="67">
        <v>44561</v>
      </c>
      <c r="H272" s="783"/>
      <c r="I272" s="784"/>
      <c r="J272" s="5"/>
      <c r="K272" s="341"/>
      <c r="L272" s="5"/>
      <c r="M272" s="5"/>
      <c r="N272" s="5"/>
      <c r="O272" s="5"/>
      <c r="P272" s="5"/>
      <c r="Q272" s="5"/>
      <c r="R272" s="5"/>
      <c r="S272" s="5"/>
      <c r="T272" s="5"/>
    </row>
    <row r="273" spans="1:20" ht="15" hidden="1" customHeight="1" x14ac:dyDescent="0.25">
      <c r="A273" s="359">
        <f>IF(AND(D113&gt;=F273,D113&lt;=G273),1,0)</f>
        <v>0</v>
      </c>
      <c r="B273" s="43">
        <v>2</v>
      </c>
      <c r="C273" s="794" t="s">
        <v>1015</v>
      </c>
      <c r="D273" s="795"/>
      <c r="E273" s="115" t="s">
        <v>453</v>
      </c>
      <c r="F273" s="65">
        <v>44562</v>
      </c>
      <c r="G273" s="65">
        <v>44926</v>
      </c>
      <c r="H273" s="783"/>
      <c r="I273" s="784"/>
      <c r="J273" s="5"/>
      <c r="K273" s="5"/>
      <c r="L273" s="5"/>
      <c r="M273" s="5"/>
      <c r="N273" s="5"/>
      <c r="O273" s="5"/>
      <c r="P273" s="5"/>
      <c r="Q273" s="5"/>
      <c r="R273" s="5"/>
      <c r="S273" s="5"/>
      <c r="T273" s="5"/>
    </row>
    <row r="274" spans="1:20" ht="15" hidden="1" customHeight="1" x14ac:dyDescent="0.25">
      <c r="A274" s="45">
        <f>IF(AND(D113&gt;=F274,D113&lt;=G274),1,0)</f>
        <v>0</v>
      </c>
      <c r="B274" s="360">
        <v>2</v>
      </c>
      <c r="C274" s="792" t="s">
        <v>1048</v>
      </c>
      <c r="D274" s="793"/>
      <c r="E274" s="76" t="s">
        <v>453</v>
      </c>
      <c r="F274" s="67">
        <v>44927</v>
      </c>
      <c r="G274" s="67">
        <v>45138</v>
      </c>
      <c r="H274" s="783"/>
      <c r="I274" s="784"/>
      <c r="J274" s="5"/>
      <c r="K274" s="5"/>
      <c r="L274" s="5"/>
      <c r="M274" s="5"/>
      <c r="N274" s="5"/>
      <c r="O274" s="5"/>
      <c r="P274" s="5"/>
      <c r="Q274" s="5"/>
      <c r="R274" s="5"/>
      <c r="S274" s="5"/>
      <c r="T274" s="5"/>
    </row>
    <row r="275" spans="1:20" ht="15" hidden="1" customHeight="1" x14ac:dyDescent="0.25">
      <c r="A275" s="43">
        <f>IF((D113&gt;=F275),1,0)</f>
        <v>0</v>
      </c>
      <c r="B275" s="43">
        <v>3</v>
      </c>
      <c r="C275" s="794" t="s">
        <v>1359</v>
      </c>
      <c r="D275" s="795"/>
      <c r="E275" s="115" t="s">
        <v>453</v>
      </c>
      <c r="F275" s="65">
        <v>45139</v>
      </c>
      <c r="G275" s="43"/>
      <c r="H275" s="783"/>
      <c r="I275" s="784"/>
      <c r="J275" s="5"/>
      <c r="K275" s="5"/>
      <c r="L275" s="5"/>
      <c r="M275" s="5"/>
      <c r="N275" s="5"/>
      <c r="O275" s="5"/>
      <c r="P275" s="5"/>
      <c r="Q275" s="5"/>
      <c r="R275" s="5"/>
      <c r="S275" s="5"/>
      <c r="T275" s="5"/>
    </row>
    <row r="276" spans="1:20" ht="15" hidden="1" customHeight="1" x14ac:dyDescent="0.25">
      <c r="A276" s="45"/>
      <c r="B276" s="45">
        <v>4</v>
      </c>
      <c r="C276" s="796"/>
      <c r="D276" s="797"/>
      <c r="E276" s="76" t="s">
        <v>453</v>
      </c>
      <c r="F276" s="45"/>
      <c r="G276" s="45"/>
      <c r="H276" s="783"/>
      <c r="I276" s="784"/>
      <c r="J276" s="5"/>
      <c r="K276" s="5"/>
      <c r="L276" s="5"/>
      <c r="M276" s="5"/>
      <c r="N276" s="5"/>
      <c r="O276" s="5"/>
      <c r="P276" s="5"/>
      <c r="Q276" s="5"/>
      <c r="R276" s="5"/>
      <c r="S276" s="5"/>
      <c r="T276" s="5"/>
    </row>
    <row r="277" spans="1:20" ht="15" hidden="1" customHeight="1" x14ac:dyDescent="0.25">
      <c r="A277" s="43"/>
      <c r="B277" s="43">
        <v>5</v>
      </c>
      <c r="C277" s="790"/>
      <c r="D277" s="791"/>
      <c r="E277" s="115" t="s">
        <v>453</v>
      </c>
      <c r="F277" s="43"/>
      <c r="G277" s="43"/>
      <c r="H277" s="783"/>
      <c r="I277" s="784"/>
      <c r="J277" s="5"/>
      <c r="K277" s="5"/>
      <c r="L277" s="5"/>
      <c r="M277" s="5"/>
      <c r="N277" s="5"/>
      <c r="O277" s="5"/>
      <c r="P277" s="5"/>
      <c r="Q277" s="5"/>
      <c r="R277" s="5"/>
      <c r="S277" s="5"/>
      <c r="T277" s="5"/>
    </row>
    <row r="278" spans="1:20" ht="15" hidden="1" customHeight="1" x14ac:dyDescent="0.25">
      <c r="A278" s="45"/>
      <c r="B278" s="45">
        <v>6</v>
      </c>
      <c r="C278" s="796"/>
      <c r="D278" s="797"/>
      <c r="E278" s="76" t="s">
        <v>453</v>
      </c>
      <c r="F278" s="45"/>
      <c r="G278" s="45"/>
      <c r="H278" s="783"/>
      <c r="I278" s="784"/>
      <c r="J278" s="5"/>
      <c r="K278" s="5"/>
      <c r="L278" s="5"/>
      <c r="M278" s="5"/>
      <c r="N278" s="5"/>
      <c r="O278" s="5"/>
      <c r="P278" s="5"/>
      <c r="Q278" s="5"/>
      <c r="R278" s="5"/>
      <c r="S278" s="5"/>
      <c r="T278" s="5"/>
    </row>
    <row r="279" spans="1:20" ht="15" hidden="1" customHeight="1" x14ac:dyDescent="0.25">
      <c r="A279" s="43"/>
      <c r="B279" s="43">
        <v>7</v>
      </c>
      <c r="C279" s="790"/>
      <c r="D279" s="791"/>
      <c r="E279" s="115" t="s">
        <v>453</v>
      </c>
      <c r="F279" s="43"/>
      <c r="G279" s="43"/>
      <c r="H279" s="783"/>
      <c r="I279" s="784"/>
      <c r="J279" s="5"/>
      <c r="K279" s="5"/>
      <c r="L279" s="5"/>
      <c r="M279" s="5"/>
      <c r="N279" s="5"/>
      <c r="O279" s="5"/>
      <c r="P279" s="5"/>
      <c r="Q279" s="5"/>
      <c r="R279" s="5"/>
      <c r="S279" s="5"/>
      <c r="T279" s="5"/>
    </row>
    <row r="280" spans="1:20" ht="15" hidden="1" customHeight="1" x14ac:dyDescent="0.25">
      <c r="A280" s="45"/>
      <c r="B280" s="45">
        <v>8</v>
      </c>
      <c r="C280" s="796"/>
      <c r="D280" s="797"/>
      <c r="E280" s="76" t="s">
        <v>453</v>
      </c>
      <c r="F280" s="45"/>
      <c r="G280" s="45"/>
      <c r="H280" s="783"/>
      <c r="I280" s="784"/>
      <c r="J280" s="5"/>
      <c r="K280" s="5"/>
      <c r="L280" s="5"/>
      <c r="M280" s="5"/>
      <c r="N280" s="5"/>
      <c r="O280" s="5"/>
      <c r="P280" s="5"/>
      <c r="Q280" s="5"/>
      <c r="R280" s="5"/>
      <c r="S280" s="5"/>
      <c r="T280" s="5"/>
    </row>
    <row r="281" spans="1:20" ht="15" hidden="1" customHeight="1" x14ac:dyDescent="0.25">
      <c r="A281" s="43"/>
      <c r="B281" s="43">
        <v>9</v>
      </c>
      <c r="C281" s="790"/>
      <c r="D281" s="791"/>
      <c r="E281" s="115" t="s">
        <v>453</v>
      </c>
      <c r="F281" s="43"/>
      <c r="G281" s="43"/>
      <c r="H281" s="783"/>
      <c r="I281" s="784"/>
      <c r="J281" s="5"/>
      <c r="K281" s="5"/>
      <c r="L281" s="5"/>
      <c r="M281" s="5"/>
      <c r="N281" s="5"/>
      <c r="O281" s="5"/>
      <c r="P281" s="5"/>
      <c r="Q281" s="5"/>
      <c r="R281" s="5"/>
      <c r="S281" s="5"/>
      <c r="T281" s="5"/>
    </row>
    <row r="282" spans="1:20" ht="15" hidden="1" customHeight="1" x14ac:dyDescent="0.25">
      <c r="A282" s="45"/>
      <c r="B282" s="45">
        <v>10</v>
      </c>
      <c r="C282" s="796"/>
      <c r="D282" s="797"/>
      <c r="E282" s="76" t="s">
        <v>453</v>
      </c>
      <c r="F282" s="45"/>
      <c r="G282" s="45"/>
      <c r="H282" s="783"/>
      <c r="I282" s="784"/>
      <c r="J282" s="5"/>
      <c r="K282" s="5"/>
      <c r="L282" s="5"/>
      <c r="M282" s="5"/>
      <c r="N282" s="5"/>
      <c r="O282" s="5"/>
      <c r="P282" s="5"/>
      <c r="Q282" s="5"/>
      <c r="R282" s="5"/>
      <c r="S282" s="5"/>
      <c r="T282" s="5"/>
    </row>
    <row r="283" spans="1:20" ht="15" hidden="1" customHeight="1" x14ac:dyDescent="0.25">
      <c r="A283" s="43"/>
      <c r="B283" s="43">
        <v>11</v>
      </c>
      <c r="C283" s="790"/>
      <c r="D283" s="791"/>
      <c r="E283" s="115" t="s">
        <v>453</v>
      </c>
      <c r="F283" s="43"/>
      <c r="G283" s="43"/>
      <c r="H283" s="785"/>
      <c r="I283" s="786"/>
      <c r="J283" s="5"/>
      <c r="K283" s="5"/>
      <c r="L283" s="5"/>
      <c r="M283" s="5"/>
      <c r="N283" s="5"/>
      <c r="O283" s="5"/>
      <c r="P283" s="5"/>
      <c r="Q283" s="5"/>
      <c r="R283" s="5"/>
      <c r="S283" s="5"/>
      <c r="T283" s="5"/>
    </row>
    <row r="284" spans="1:20" ht="15" hidden="1" customHeight="1" x14ac:dyDescent="0.25">
      <c r="A284" s="5"/>
      <c r="B284" s="5"/>
      <c r="C284" s="5"/>
      <c r="D284" s="5"/>
      <c r="E284" s="5"/>
      <c r="F284" s="6"/>
      <c r="G284" s="5"/>
      <c r="H284" s="5"/>
      <c r="I284" s="5"/>
      <c r="J284" s="5"/>
      <c r="K284" s="5"/>
      <c r="L284" s="5"/>
      <c r="M284" s="5"/>
      <c r="N284" s="5"/>
      <c r="O284" s="5"/>
      <c r="P284" s="5"/>
      <c r="Q284" s="5"/>
      <c r="R284" s="5"/>
      <c r="S284" s="5"/>
      <c r="T284" s="5"/>
    </row>
    <row r="285" spans="1:20" ht="15" hidden="1" customHeight="1" x14ac:dyDescent="0.25">
      <c r="A285" s="36" t="s">
        <v>695</v>
      </c>
      <c r="B285" s="36"/>
      <c r="C285" s="36"/>
      <c r="D285" s="36"/>
      <c r="E285" s="36" t="e">
        <f>VLOOKUP(1,A272:B283,2,FALSE)</f>
        <v>#N/A</v>
      </c>
      <c r="F285" s="780" t="e">
        <f>VLOOKUP(E285,B272:D283,2,FALSE)</f>
        <v>#N/A</v>
      </c>
      <c r="G285" s="780"/>
      <c r="H285" s="5"/>
      <c r="I285" s="5"/>
      <c r="J285" s="5"/>
      <c r="K285" s="5"/>
      <c r="L285" s="5"/>
      <c r="M285" s="5"/>
      <c r="N285" s="5"/>
      <c r="O285" s="5"/>
      <c r="P285" s="5"/>
      <c r="Q285" s="5"/>
      <c r="R285" s="5"/>
      <c r="S285" s="5"/>
      <c r="T285" s="5"/>
    </row>
    <row r="286" spans="1:20" ht="15" hidden="1" customHeight="1" x14ac:dyDescent="0.25">
      <c r="A286" s="5"/>
      <c r="B286" s="5"/>
      <c r="C286" s="5"/>
      <c r="D286" s="5"/>
      <c r="E286" s="5"/>
      <c r="F286" s="6"/>
      <c r="G286" s="5"/>
      <c r="H286" s="5"/>
      <c r="I286" s="5"/>
      <c r="J286" s="5"/>
      <c r="K286" s="5"/>
      <c r="L286" s="5"/>
      <c r="M286" s="5"/>
      <c r="N286" s="5"/>
      <c r="O286" s="5"/>
      <c r="P286" s="5"/>
      <c r="Q286" s="5"/>
      <c r="R286" s="5"/>
      <c r="S286" s="5"/>
      <c r="T286" s="5"/>
    </row>
    <row r="287" spans="1:20" ht="15" hidden="1" customHeight="1" x14ac:dyDescent="0.25">
      <c r="A287" s="42" t="s">
        <v>927</v>
      </c>
      <c r="B287" s="42"/>
      <c r="C287" s="42"/>
      <c r="D287" s="42"/>
      <c r="E287" s="42"/>
      <c r="F287" s="104"/>
      <c r="G287" s="42"/>
      <c r="H287" s="42"/>
      <c r="I287" s="42"/>
      <c r="J287" s="42"/>
      <c r="K287" s="42"/>
      <c r="L287" s="42"/>
      <c r="M287" s="42"/>
      <c r="N287" s="42"/>
      <c r="O287" s="42"/>
      <c r="P287" s="42"/>
      <c r="Q287" s="42"/>
      <c r="R287" s="42"/>
      <c r="S287" s="42"/>
      <c r="T287" s="42"/>
    </row>
    <row r="288" spans="1:20" ht="15" hidden="1" customHeight="1" x14ac:dyDescent="0.25">
      <c r="A288" s="5"/>
      <c r="B288" s="5"/>
      <c r="C288" s="5"/>
      <c r="D288" s="5"/>
      <c r="E288" s="5"/>
      <c r="F288" s="6"/>
      <c r="G288" s="117"/>
      <c r="H288" s="5"/>
      <c r="I288" s="5"/>
      <c r="J288" s="5"/>
      <c r="K288" s="5"/>
      <c r="L288" s="5"/>
      <c r="M288" s="5"/>
      <c r="N288" s="5"/>
      <c r="O288" s="5"/>
      <c r="P288" s="5"/>
      <c r="Q288" s="5"/>
      <c r="R288" s="5"/>
      <c r="S288" s="5"/>
      <c r="T288" s="5"/>
    </row>
    <row r="289" spans="1:20" ht="15" hidden="1" customHeight="1" x14ac:dyDescent="0.25">
      <c r="A289" s="118" t="s">
        <v>401</v>
      </c>
      <c r="B289" s="118" t="s">
        <v>696</v>
      </c>
      <c r="C289" s="5"/>
      <c r="D289" s="5"/>
      <c r="E289" s="5"/>
      <c r="F289" s="6"/>
      <c r="G289" s="5"/>
      <c r="H289" s="5"/>
      <c r="I289" s="5"/>
      <c r="J289" s="5"/>
      <c r="K289" s="5"/>
      <c r="L289" s="5"/>
      <c r="M289" s="5"/>
      <c r="N289" s="5"/>
      <c r="O289" s="5"/>
      <c r="P289" s="5"/>
      <c r="Q289" s="5"/>
      <c r="R289" s="5"/>
      <c r="S289" s="5"/>
      <c r="T289" s="5"/>
    </row>
    <row r="290" spans="1:20" ht="15" hidden="1" customHeight="1" x14ac:dyDescent="0.25">
      <c r="A290" s="118">
        <v>50</v>
      </c>
      <c r="B290" s="118" t="s">
        <v>464</v>
      </c>
      <c r="C290" s="5"/>
      <c r="D290" s="5"/>
      <c r="E290" s="5"/>
      <c r="F290" s="6"/>
      <c r="G290" s="5"/>
      <c r="H290" s="5"/>
      <c r="I290" s="5"/>
      <c r="J290" s="5"/>
      <c r="K290" s="5"/>
      <c r="L290" s="5"/>
      <c r="M290" s="5"/>
      <c r="N290" s="5"/>
      <c r="O290" s="5"/>
      <c r="P290" s="5"/>
      <c r="Q290" s="5"/>
      <c r="R290" s="5"/>
      <c r="S290" s="5"/>
      <c r="T290" s="5"/>
    </row>
    <row r="291" spans="1:20" ht="15" hidden="1" customHeight="1" x14ac:dyDescent="0.25">
      <c r="A291" s="118">
        <v>60</v>
      </c>
      <c r="B291" s="118" t="s">
        <v>465</v>
      </c>
      <c r="C291" s="5"/>
      <c r="D291" s="5"/>
      <c r="E291" s="5"/>
      <c r="F291" s="6"/>
      <c r="G291" s="5"/>
      <c r="H291" s="5"/>
      <c r="I291" s="5"/>
      <c r="J291" s="5"/>
      <c r="K291" s="5"/>
      <c r="L291" s="5"/>
      <c r="M291" s="5"/>
      <c r="N291" s="5"/>
      <c r="O291" s="5"/>
      <c r="P291" s="5"/>
      <c r="Q291" s="5"/>
      <c r="R291" s="5"/>
      <c r="S291" s="5"/>
      <c r="T291" s="5"/>
    </row>
    <row r="292" spans="1:20" ht="15" hidden="1" customHeight="1" x14ac:dyDescent="0.25">
      <c r="A292" s="118">
        <v>75</v>
      </c>
      <c r="B292" s="118" t="s">
        <v>466</v>
      </c>
      <c r="C292" s="5"/>
      <c r="D292" s="5"/>
      <c r="E292" s="5"/>
      <c r="F292" s="6"/>
      <c r="G292" s="5"/>
      <c r="H292" s="5"/>
      <c r="I292" s="5"/>
      <c r="J292" s="5"/>
      <c r="K292" s="5"/>
      <c r="L292" s="5"/>
      <c r="M292" s="5"/>
      <c r="N292" s="5"/>
      <c r="O292" s="5"/>
      <c r="P292" s="5"/>
      <c r="Q292" s="5"/>
      <c r="R292" s="5"/>
      <c r="S292" s="5"/>
      <c r="T292" s="5"/>
    </row>
    <row r="293" spans="1:20" ht="15" hidden="1" customHeight="1" x14ac:dyDescent="0.25">
      <c r="A293" s="118">
        <v>85</v>
      </c>
      <c r="B293" s="118" t="s">
        <v>467</v>
      </c>
      <c r="C293" s="5"/>
      <c r="D293" s="5"/>
      <c r="E293" s="5"/>
      <c r="F293" s="6"/>
      <c r="G293" s="5"/>
      <c r="H293" s="5"/>
      <c r="I293" s="5"/>
      <c r="J293" s="5"/>
      <c r="K293" s="5"/>
      <c r="L293" s="5"/>
      <c r="M293" s="5"/>
      <c r="N293" s="5"/>
      <c r="O293" s="5"/>
      <c r="P293" s="5"/>
      <c r="Q293" s="5"/>
      <c r="R293" s="5"/>
      <c r="S293" s="5"/>
      <c r="T293" s="5"/>
    </row>
    <row r="294" spans="1:20" ht="15" hidden="1" customHeight="1" x14ac:dyDescent="0.25">
      <c r="A294" s="118">
        <v>95</v>
      </c>
      <c r="B294" s="118" t="s">
        <v>697</v>
      </c>
      <c r="C294" s="5"/>
      <c r="D294" s="5"/>
      <c r="E294" s="5"/>
      <c r="F294" s="6"/>
      <c r="G294" s="5"/>
      <c r="H294" s="5"/>
      <c r="I294" s="5"/>
      <c r="J294" s="5"/>
      <c r="K294" s="5"/>
      <c r="L294" s="5"/>
      <c r="M294" s="5"/>
      <c r="N294" s="5"/>
      <c r="O294" s="5"/>
      <c r="P294" s="5"/>
      <c r="Q294" s="5"/>
      <c r="R294" s="5"/>
      <c r="S294" s="5"/>
      <c r="T294" s="5"/>
    </row>
    <row r="295" spans="1:20" ht="15" hidden="1" customHeight="1" x14ac:dyDescent="0.25">
      <c r="A295" s="118">
        <v>105</v>
      </c>
      <c r="B295" s="118" t="s">
        <v>698</v>
      </c>
      <c r="C295" s="5"/>
      <c r="D295" s="5"/>
      <c r="E295" s="5"/>
      <c r="F295" s="6"/>
      <c r="G295" s="5"/>
      <c r="H295" s="5"/>
      <c r="I295" s="5"/>
      <c r="J295" s="5"/>
      <c r="K295" s="5"/>
      <c r="L295" s="5"/>
      <c r="M295" s="5"/>
      <c r="N295" s="5"/>
      <c r="O295" s="5"/>
      <c r="P295" s="5"/>
      <c r="Q295" s="5"/>
      <c r="R295" s="5"/>
      <c r="S295" s="5"/>
      <c r="T295" s="5"/>
    </row>
    <row r="296" spans="1:20" ht="15" hidden="1" customHeight="1" x14ac:dyDescent="0.25">
      <c r="A296" s="118">
        <v>115</v>
      </c>
      <c r="B296" s="118" t="s">
        <v>699</v>
      </c>
      <c r="C296" s="5"/>
      <c r="D296" s="5"/>
      <c r="E296" s="5"/>
      <c r="F296" s="6"/>
      <c r="G296" s="5"/>
      <c r="H296" s="5"/>
      <c r="I296" s="5"/>
      <c r="J296" s="5"/>
      <c r="K296" s="5"/>
      <c r="L296" s="5"/>
      <c r="M296" s="5"/>
      <c r="N296" s="5"/>
      <c r="O296" s="5"/>
      <c r="P296" s="5"/>
      <c r="Q296" s="5"/>
      <c r="R296" s="5"/>
      <c r="S296" s="5"/>
      <c r="T296" s="5"/>
    </row>
    <row r="297" spans="1:20" ht="15" hidden="1" customHeight="1" x14ac:dyDescent="0.25">
      <c r="A297" s="118">
        <v>125</v>
      </c>
      <c r="B297" s="118" t="s">
        <v>700</v>
      </c>
      <c r="C297" s="5"/>
      <c r="D297" s="5"/>
      <c r="E297" s="5"/>
      <c r="F297" s="6"/>
      <c r="G297" s="5"/>
      <c r="H297" s="5"/>
      <c r="I297" s="5"/>
      <c r="J297" s="5"/>
      <c r="K297" s="5"/>
      <c r="L297" s="5"/>
      <c r="M297" s="5"/>
      <c r="N297" s="5"/>
      <c r="O297" s="5"/>
      <c r="P297" s="5"/>
      <c r="Q297" s="5"/>
      <c r="R297" s="5"/>
      <c r="S297" s="5"/>
      <c r="T297" s="5"/>
    </row>
    <row r="298" spans="1:20" ht="15" hidden="1" customHeight="1" x14ac:dyDescent="0.25">
      <c r="A298" s="118">
        <v>135</v>
      </c>
      <c r="B298" s="118" t="s">
        <v>691</v>
      </c>
      <c r="C298" s="5"/>
      <c r="D298" s="5"/>
      <c r="E298" s="5"/>
      <c r="F298" s="6"/>
      <c r="G298" s="5"/>
      <c r="H298" s="5"/>
      <c r="I298" s="5"/>
      <c r="J298" s="5"/>
      <c r="K298" s="5"/>
      <c r="L298" s="5"/>
      <c r="M298" s="5"/>
      <c r="N298" s="5"/>
      <c r="O298" s="5"/>
      <c r="P298" s="5"/>
      <c r="Q298" s="5"/>
      <c r="R298" s="5"/>
      <c r="S298" s="5"/>
      <c r="T298" s="5"/>
    </row>
    <row r="299" spans="1:20" ht="15" hidden="1" customHeight="1" x14ac:dyDescent="0.25">
      <c r="A299" s="77">
        <v>145</v>
      </c>
      <c r="B299" s="77" t="s">
        <v>701</v>
      </c>
      <c r="F299" s="28"/>
    </row>
    <row r="300" spans="1:20" ht="15" hidden="1" customHeight="1" x14ac:dyDescent="0.25">
      <c r="F300" s="28"/>
    </row>
    <row r="301" spans="1:20" ht="15" hidden="1" customHeight="1" x14ac:dyDescent="0.25">
      <c r="A301" s="36" t="s">
        <v>702</v>
      </c>
      <c r="B301" s="36"/>
      <c r="C301" s="36" t="e">
        <f>D135</f>
        <v>#N/A</v>
      </c>
      <c r="D301" s="79" t="s">
        <v>401</v>
      </c>
      <c r="E301" s="106" t="s">
        <v>687</v>
      </c>
      <c r="F301" s="107" t="e">
        <f>VLOOKUP(D135,A290:B299,2,FALSE)</f>
        <v>#N/A</v>
      </c>
      <c r="G301" s="36"/>
    </row>
    <row r="302" spans="1:20" ht="15" hidden="1" customHeight="1" x14ac:dyDescent="0.25">
      <c r="F302" s="28"/>
    </row>
    <row r="303" spans="1:20" ht="15" hidden="1" customHeight="1" x14ac:dyDescent="0.25">
      <c r="A303" s="3" t="s">
        <v>704</v>
      </c>
      <c r="F303" s="28"/>
    </row>
    <row r="304" spans="1:20" ht="15" hidden="1" customHeight="1" x14ac:dyDescent="0.25">
      <c r="F304" s="28"/>
    </row>
    <row r="305" spans="1:31" ht="15" hidden="1" customHeight="1" x14ac:dyDescent="0.25">
      <c r="A305" s="778" t="s">
        <v>1409</v>
      </c>
      <c r="B305" s="778"/>
      <c r="C305" s="778"/>
      <c r="D305" s="778"/>
      <c r="E305" s="778"/>
      <c r="F305" s="778"/>
      <c r="G305" s="778"/>
      <c r="H305" s="778"/>
      <c r="I305" s="778"/>
      <c r="J305" s="778"/>
      <c r="K305" s="778"/>
      <c r="L305" s="778"/>
    </row>
    <row r="306" spans="1:31" ht="15" hidden="1" customHeight="1" x14ac:dyDescent="0.25">
      <c r="A306" s="778"/>
      <c r="B306" s="778"/>
      <c r="C306" s="778"/>
      <c r="D306" s="778"/>
      <c r="E306" s="778"/>
      <c r="F306" s="778"/>
      <c r="G306" s="778"/>
      <c r="H306" s="778"/>
      <c r="I306" s="778"/>
      <c r="J306" s="778"/>
      <c r="K306" s="778"/>
      <c r="L306" s="778"/>
    </row>
    <row r="307" spans="1:31" ht="15" hidden="1" customHeight="1" x14ac:dyDescent="0.25">
      <c r="A307" s="778"/>
      <c r="B307" s="778"/>
      <c r="C307" s="778"/>
      <c r="D307" s="778"/>
      <c r="E307" s="778"/>
      <c r="F307" s="778"/>
      <c r="G307" s="778"/>
      <c r="H307" s="778"/>
      <c r="I307" s="778"/>
      <c r="J307" s="778"/>
      <c r="K307" s="778"/>
      <c r="L307" s="778"/>
    </row>
    <row r="308" spans="1:31" ht="15" hidden="1" customHeight="1" x14ac:dyDescent="0.25">
      <c r="F308" s="28"/>
    </row>
    <row r="309" spans="1:31" ht="15" hidden="1" customHeight="1" x14ac:dyDescent="0.25">
      <c r="A309" s="36" t="s">
        <v>703</v>
      </c>
      <c r="B309" s="36"/>
      <c r="C309" s="36" t="e">
        <f>E285&amp;""&amp;F301&amp;""&amp;B16</f>
        <v>#N/A</v>
      </c>
      <c r="D309" s="36"/>
      <c r="E309" s="36"/>
      <c r="F309" s="51"/>
      <c r="G309" s="36"/>
    </row>
    <row r="310" spans="1:31" ht="15" hidden="1" customHeight="1" x14ac:dyDescent="0.25">
      <c r="F310" s="28"/>
    </row>
    <row r="311" spans="1:31" ht="15" hidden="1" customHeight="1" x14ac:dyDescent="0.25">
      <c r="F311" s="28"/>
    </row>
    <row r="312" spans="1:31" ht="15" hidden="1" customHeight="1" x14ac:dyDescent="0.25">
      <c r="A312" s="42" t="s">
        <v>928</v>
      </c>
      <c r="B312" s="33"/>
      <c r="C312" s="33"/>
      <c r="D312" s="33"/>
      <c r="E312" s="33"/>
      <c r="F312" s="38"/>
      <c r="G312" s="33"/>
      <c r="H312" s="33"/>
      <c r="I312" s="33"/>
      <c r="J312" s="33"/>
      <c r="K312" s="33"/>
      <c r="L312" s="33"/>
      <c r="M312" s="33"/>
      <c r="N312" s="33"/>
      <c r="O312" s="33"/>
      <c r="P312" s="33"/>
      <c r="Q312" s="33"/>
      <c r="R312" s="33"/>
      <c r="S312" s="33"/>
      <c r="T312" s="33"/>
    </row>
    <row r="313" spans="1:31" ht="15" hidden="1" customHeight="1" x14ac:dyDescent="0.25">
      <c r="F313" s="28"/>
    </row>
    <row r="314" spans="1:31" ht="15" hidden="1" customHeight="1" x14ac:dyDescent="0.25">
      <c r="A314" s="27" t="s">
        <v>690</v>
      </c>
      <c r="B314" s="27"/>
      <c r="C314" s="27"/>
      <c r="D314" s="27"/>
      <c r="E314" s="27"/>
      <c r="F314" s="28"/>
    </row>
    <row r="315" spans="1:31" ht="15" hidden="1" customHeight="1" x14ac:dyDescent="0.25">
      <c r="F315" s="28"/>
    </row>
    <row r="316" spans="1:31" ht="15" hidden="1" customHeight="1" x14ac:dyDescent="0.25">
      <c r="A316" s="777" t="s">
        <v>1045</v>
      </c>
      <c r="B316" s="777"/>
      <c r="C316" s="777"/>
      <c r="D316" s="777"/>
      <c r="E316" s="777"/>
      <c r="F316" s="777"/>
      <c r="G316" s="777"/>
      <c r="H316" s="777"/>
      <c r="I316" s="777"/>
      <c r="J316" s="777"/>
      <c r="K316" s="777"/>
      <c r="L316" s="777"/>
      <c r="M316" s="777"/>
    </row>
    <row r="317" spans="1:31" ht="15" hidden="1" customHeight="1" x14ac:dyDescent="0.25">
      <c r="A317" s="777"/>
      <c r="B317" s="777"/>
      <c r="C317" s="777"/>
      <c r="D317" s="777"/>
      <c r="E317" s="777"/>
      <c r="F317" s="777"/>
      <c r="G317" s="777"/>
      <c r="H317" s="777"/>
      <c r="I317" s="777"/>
      <c r="J317" s="777"/>
      <c r="K317" s="777"/>
      <c r="L317" s="777"/>
      <c r="M317" s="777"/>
    </row>
    <row r="318" spans="1:31" ht="15" hidden="1" customHeight="1" x14ac:dyDescent="0.25">
      <c r="A318" s="777"/>
      <c r="B318" s="777"/>
      <c r="C318" s="777"/>
      <c r="D318" s="777"/>
      <c r="E318" s="777"/>
      <c r="F318" s="777"/>
      <c r="G318" s="777"/>
      <c r="H318" s="777"/>
      <c r="I318" s="777"/>
      <c r="J318" s="777"/>
      <c r="K318" s="777"/>
      <c r="L318" s="777"/>
      <c r="M318" s="777"/>
    </row>
    <row r="319" spans="1:31" ht="15" hidden="1" customHeight="1" thickBot="1" x14ac:dyDescent="0.3">
      <c r="B319" s="39"/>
      <c r="C319" s="39"/>
      <c r="D319" s="39"/>
      <c r="E319" s="39"/>
      <c r="F319" s="109"/>
      <c r="G319" s="39"/>
    </row>
    <row r="320" spans="1:31" ht="15" hidden="1" customHeight="1" x14ac:dyDescent="0.25">
      <c r="B320" s="787" t="s">
        <v>692</v>
      </c>
      <c r="C320" s="788"/>
      <c r="D320" s="788"/>
      <c r="E320" s="788"/>
      <c r="F320" s="788"/>
      <c r="G320" s="788"/>
      <c r="H320" s="788"/>
      <c r="I320" s="788"/>
      <c r="J320" s="788"/>
      <c r="K320" s="788"/>
      <c r="L320" s="788"/>
      <c r="M320" s="789"/>
      <c r="N320" s="787" t="s">
        <v>1040</v>
      </c>
      <c r="O320" s="788"/>
      <c r="P320" s="788"/>
      <c r="Q320" s="788"/>
      <c r="R320" s="788"/>
      <c r="S320" s="788"/>
      <c r="T320" s="788"/>
      <c r="U320" s="788"/>
      <c r="V320" s="822" t="s">
        <v>1410</v>
      </c>
      <c r="W320" s="823"/>
      <c r="X320" s="823"/>
      <c r="Y320" s="823"/>
      <c r="Z320" s="823"/>
      <c r="AA320" s="823"/>
      <c r="AB320" s="823"/>
      <c r="AC320" s="823"/>
      <c r="AD320" s="823"/>
      <c r="AE320" s="824"/>
    </row>
    <row r="321" spans="1:31" hidden="1" x14ac:dyDescent="0.25">
      <c r="A321" s="25"/>
      <c r="B321" s="819" t="s">
        <v>344</v>
      </c>
      <c r="C321" s="814"/>
      <c r="D321" s="813" t="s">
        <v>344</v>
      </c>
      <c r="E321" s="814"/>
      <c r="F321" s="813" t="s">
        <v>344</v>
      </c>
      <c r="G321" s="814"/>
      <c r="H321" s="813" t="s">
        <v>344</v>
      </c>
      <c r="I321" s="814"/>
      <c r="J321" s="813" t="s">
        <v>344</v>
      </c>
      <c r="K321" s="814"/>
      <c r="L321" s="813" t="s">
        <v>344</v>
      </c>
      <c r="M321" s="816"/>
      <c r="N321" s="819" t="s">
        <v>344</v>
      </c>
      <c r="O321" s="814"/>
      <c r="P321" s="813" t="s">
        <v>344</v>
      </c>
      <c r="Q321" s="814"/>
      <c r="R321" s="813" t="s">
        <v>344</v>
      </c>
      <c r="S321" s="814"/>
      <c r="T321" s="813" t="s">
        <v>344</v>
      </c>
      <c r="U321" s="815"/>
      <c r="V321" s="821" t="s">
        <v>344</v>
      </c>
      <c r="W321" s="818"/>
      <c r="X321" s="817" t="s">
        <v>344</v>
      </c>
      <c r="Y321" s="818"/>
      <c r="Z321" s="825" t="s">
        <v>344</v>
      </c>
      <c r="AA321" s="812"/>
      <c r="AB321" s="775" t="s">
        <v>344</v>
      </c>
      <c r="AC321" s="812"/>
      <c r="AD321" s="815" t="s">
        <v>344</v>
      </c>
      <c r="AE321" s="816"/>
    </row>
    <row r="322" spans="1:31" hidden="1" x14ac:dyDescent="0.25">
      <c r="A322" s="19"/>
      <c r="B322" s="819">
        <v>1</v>
      </c>
      <c r="C322" s="814"/>
      <c r="D322" s="813">
        <v>2</v>
      </c>
      <c r="E322" s="814"/>
      <c r="F322" s="813">
        <v>3</v>
      </c>
      <c r="G322" s="814"/>
      <c r="H322" s="813">
        <v>4</v>
      </c>
      <c r="I322" s="814"/>
      <c r="J322" s="813">
        <v>5</v>
      </c>
      <c r="K322" s="814"/>
      <c r="L322" s="813">
        <v>6</v>
      </c>
      <c r="M322" s="816"/>
      <c r="N322" s="819">
        <v>1</v>
      </c>
      <c r="O322" s="814"/>
      <c r="P322" s="813">
        <v>2</v>
      </c>
      <c r="Q322" s="814"/>
      <c r="R322" s="813">
        <v>3</v>
      </c>
      <c r="S322" s="814"/>
      <c r="T322" s="813">
        <v>4</v>
      </c>
      <c r="U322" s="815"/>
      <c r="V322" s="798">
        <v>1</v>
      </c>
      <c r="W322" s="799"/>
      <c r="X322" s="820">
        <v>2</v>
      </c>
      <c r="Y322" s="799"/>
      <c r="Z322" s="815">
        <v>3</v>
      </c>
      <c r="AA322" s="814"/>
      <c r="AB322" s="813">
        <v>4</v>
      </c>
      <c r="AC322" s="814"/>
      <c r="AD322" s="815">
        <v>5</v>
      </c>
      <c r="AE322" s="816"/>
    </row>
    <row r="323" spans="1:31" hidden="1" x14ac:dyDescent="0.25">
      <c r="A323" s="80" t="s">
        <v>401</v>
      </c>
      <c r="B323" s="121" t="s">
        <v>481</v>
      </c>
      <c r="C323" s="69" t="s">
        <v>371</v>
      </c>
      <c r="D323" s="80" t="s">
        <v>481</v>
      </c>
      <c r="E323" s="69" t="s">
        <v>371</v>
      </c>
      <c r="F323" s="80" t="s">
        <v>481</v>
      </c>
      <c r="G323" s="69" t="s">
        <v>371</v>
      </c>
      <c r="H323" s="80" t="s">
        <v>481</v>
      </c>
      <c r="I323" s="69" t="s">
        <v>371</v>
      </c>
      <c r="J323" s="80" t="s">
        <v>481</v>
      </c>
      <c r="K323" s="69" t="s">
        <v>371</v>
      </c>
      <c r="L323" s="80" t="s">
        <v>481</v>
      </c>
      <c r="M323" s="122" t="s">
        <v>371</v>
      </c>
      <c r="N323" s="121" t="s">
        <v>481</v>
      </c>
      <c r="O323" s="69" t="s">
        <v>371</v>
      </c>
      <c r="P323" s="80" t="s">
        <v>481</v>
      </c>
      <c r="Q323" s="69" t="s">
        <v>371</v>
      </c>
      <c r="R323" s="80" t="s">
        <v>481</v>
      </c>
      <c r="S323" s="69" t="s">
        <v>371</v>
      </c>
      <c r="T323" s="80" t="s">
        <v>481</v>
      </c>
      <c r="U323" s="68" t="s">
        <v>371</v>
      </c>
      <c r="V323" s="344" t="s">
        <v>481</v>
      </c>
      <c r="W323" s="543" t="s">
        <v>371</v>
      </c>
      <c r="X323" s="345" t="s">
        <v>481</v>
      </c>
      <c r="Y323" s="543" t="s">
        <v>371</v>
      </c>
      <c r="Z323" s="345" t="s">
        <v>481</v>
      </c>
      <c r="AA323" s="543" t="s">
        <v>371</v>
      </c>
      <c r="AB323" s="345" t="s">
        <v>481</v>
      </c>
      <c r="AC323" s="543" t="s">
        <v>371</v>
      </c>
      <c r="AD323" s="345" t="s">
        <v>481</v>
      </c>
      <c r="AE323" s="548" t="s">
        <v>371</v>
      </c>
    </row>
    <row r="324" spans="1:31" hidden="1" x14ac:dyDescent="0.25">
      <c r="A324" s="90">
        <v>50</v>
      </c>
      <c r="B324" s="123" t="s">
        <v>482</v>
      </c>
      <c r="C324" s="112">
        <v>491</v>
      </c>
      <c r="D324" s="119" t="s">
        <v>487</v>
      </c>
      <c r="E324" s="112">
        <v>410</v>
      </c>
      <c r="F324" s="119" t="s">
        <v>491</v>
      </c>
      <c r="G324" s="112">
        <v>340</v>
      </c>
      <c r="H324" s="119" t="s">
        <v>495</v>
      </c>
      <c r="I324" s="113">
        <v>358</v>
      </c>
      <c r="J324" s="119" t="s">
        <v>705</v>
      </c>
      <c r="K324" s="113">
        <v>353</v>
      </c>
      <c r="L324" s="119" t="s">
        <v>706</v>
      </c>
      <c r="M324" s="124">
        <v>338</v>
      </c>
      <c r="N324" s="123" t="s">
        <v>500</v>
      </c>
      <c r="O324" s="113">
        <v>381.7</v>
      </c>
      <c r="P324" s="119" t="s">
        <v>503</v>
      </c>
      <c r="Q324" s="113">
        <v>431.2</v>
      </c>
      <c r="R324" s="87" t="s">
        <v>506</v>
      </c>
      <c r="S324" s="113">
        <v>481.8</v>
      </c>
      <c r="T324" s="87" t="s">
        <v>509</v>
      </c>
      <c r="U324" s="349">
        <v>540.1</v>
      </c>
      <c r="V324" s="544" t="s">
        <v>529</v>
      </c>
      <c r="W324" s="546">
        <v>511</v>
      </c>
      <c r="X324" s="545" t="s">
        <v>533</v>
      </c>
      <c r="Y324" s="546">
        <v>404</v>
      </c>
      <c r="Z324" s="545" t="s">
        <v>537</v>
      </c>
      <c r="AA324" s="546">
        <v>375</v>
      </c>
      <c r="AB324" s="545" t="s">
        <v>541</v>
      </c>
      <c r="AC324" s="546">
        <v>416</v>
      </c>
      <c r="AD324" s="545" t="s">
        <v>1394</v>
      </c>
      <c r="AE324" s="549">
        <v>437</v>
      </c>
    </row>
    <row r="325" spans="1:31" hidden="1" x14ac:dyDescent="0.25">
      <c r="A325" s="80">
        <v>60</v>
      </c>
      <c r="B325" s="125" t="s">
        <v>483</v>
      </c>
      <c r="C325" s="110">
        <v>558</v>
      </c>
      <c r="D325" s="120" t="s">
        <v>488</v>
      </c>
      <c r="E325" s="110">
        <v>476</v>
      </c>
      <c r="F325" s="120" t="s">
        <v>492</v>
      </c>
      <c r="G325" s="110">
        <v>433</v>
      </c>
      <c r="H325" s="120" t="s">
        <v>496</v>
      </c>
      <c r="I325" s="111">
        <v>433</v>
      </c>
      <c r="J325" s="120" t="s">
        <v>707</v>
      </c>
      <c r="K325" s="111">
        <v>419</v>
      </c>
      <c r="L325" s="120" t="s">
        <v>708</v>
      </c>
      <c r="M325" s="126">
        <v>422</v>
      </c>
      <c r="N325" s="125" t="s">
        <v>512</v>
      </c>
      <c r="O325" s="111">
        <v>462</v>
      </c>
      <c r="P325" s="120" t="s">
        <v>514</v>
      </c>
      <c r="Q325" s="111">
        <v>521.4</v>
      </c>
      <c r="R325" s="68" t="s">
        <v>516</v>
      </c>
      <c r="S325" s="111">
        <v>583</v>
      </c>
      <c r="T325" s="68" t="s">
        <v>518</v>
      </c>
      <c r="U325" s="139">
        <v>654.5</v>
      </c>
      <c r="V325" s="346" t="s">
        <v>530</v>
      </c>
      <c r="W325" s="547">
        <v>585</v>
      </c>
      <c r="X325" s="347" t="s">
        <v>534</v>
      </c>
      <c r="Y325" s="547">
        <v>480</v>
      </c>
      <c r="Z325" s="347" t="s">
        <v>538</v>
      </c>
      <c r="AA325" s="83">
        <v>461</v>
      </c>
      <c r="AB325" s="550" t="s">
        <v>542</v>
      </c>
      <c r="AC325" s="83">
        <v>491</v>
      </c>
      <c r="AD325" s="550" t="s">
        <v>1387</v>
      </c>
      <c r="AE325" s="551">
        <v>498</v>
      </c>
    </row>
    <row r="326" spans="1:31" hidden="1" x14ac:dyDescent="0.25">
      <c r="A326" s="90">
        <v>75</v>
      </c>
      <c r="B326" s="123" t="s">
        <v>484</v>
      </c>
      <c r="C326" s="112">
        <v>625</v>
      </c>
      <c r="D326" s="119" t="s">
        <v>489</v>
      </c>
      <c r="E326" s="112">
        <v>581</v>
      </c>
      <c r="F326" s="119" t="s">
        <v>493</v>
      </c>
      <c r="G326" s="112">
        <v>483</v>
      </c>
      <c r="H326" s="119" t="s">
        <v>497</v>
      </c>
      <c r="I326" s="113">
        <v>525</v>
      </c>
      <c r="J326" s="119" t="s">
        <v>709</v>
      </c>
      <c r="K326" s="113">
        <v>483</v>
      </c>
      <c r="L326" s="119" t="s">
        <v>710</v>
      </c>
      <c r="M326" s="124">
        <v>479</v>
      </c>
      <c r="N326" s="123" t="s">
        <v>520</v>
      </c>
      <c r="O326" s="113">
        <v>551.1</v>
      </c>
      <c r="P326" s="119" t="s">
        <v>485</v>
      </c>
      <c r="Q326" s="113">
        <v>620.4</v>
      </c>
      <c r="R326" s="87" t="s">
        <v>523</v>
      </c>
      <c r="S326" s="113">
        <v>694.1</v>
      </c>
      <c r="T326" s="87" t="s">
        <v>525</v>
      </c>
      <c r="U326" s="349">
        <v>778.8</v>
      </c>
      <c r="V326" s="544" t="s">
        <v>531</v>
      </c>
      <c r="W326" s="546">
        <v>639</v>
      </c>
      <c r="X326" s="545" t="s">
        <v>535</v>
      </c>
      <c r="Y326" s="546">
        <v>539</v>
      </c>
      <c r="Z326" s="545" t="s">
        <v>539</v>
      </c>
      <c r="AA326" s="546">
        <v>488</v>
      </c>
      <c r="AB326" s="545" t="s">
        <v>543</v>
      </c>
      <c r="AC326" s="546">
        <v>527</v>
      </c>
      <c r="AD326" s="545" t="s">
        <v>1395</v>
      </c>
      <c r="AE326" s="549">
        <v>558</v>
      </c>
    </row>
    <row r="327" spans="1:31" hidden="1" x14ac:dyDescent="0.25">
      <c r="A327" s="80">
        <v>85</v>
      </c>
      <c r="B327" s="125" t="s">
        <v>486</v>
      </c>
      <c r="C327" s="110">
        <v>740</v>
      </c>
      <c r="D327" s="120" t="s">
        <v>490</v>
      </c>
      <c r="E327" s="110">
        <v>668</v>
      </c>
      <c r="F327" s="120" t="s">
        <v>494</v>
      </c>
      <c r="G327" s="110">
        <v>535</v>
      </c>
      <c r="H327" s="120" t="s">
        <v>498</v>
      </c>
      <c r="I327" s="111">
        <v>631</v>
      </c>
      <c r="J327" s="120" t="s">
        <v>711</v>
      </c>
      <c r="K327" s="111">
        <v>542</v>
      </c>
      <c r="L327" s="120" t="s">
        <v>712</v>
      </c>
      <c r="M327" s="126">
        <v>558</v>
      </c>
      <c r="N327" s="125" t="s">
        <v>521</v>
      </c>
      <c r="O327" s="111">
        <v>642.4</v>
      </c>
      <c r="P327" s="120" t="s">
        <v>522</v>
      </c>
      <c r="Q327" s="111">
        <v>724.9</v>
      </c>
      <c r="R327" s="68" t="s">
        <v>524</v>
      </c>
      <c r="S327" s="111">
        <v>809.6</v>
      </c>
      <c r="T327" s="68" t="s">
        <v>526</v>
      </c>
      <c r="U327" s="139">
        <v>907.5</v>
      </c>
      <c r="V327" s="346" t="s">
        <v>532</v>
      </c>
      <c r="W327" s="547">
        <v>744</v>
      </c>
      <c r="X327" s="347" t="s">
        <v>536</v>
      </c>
      <c r="Y327" s="547">
        <v>588</v>
      </c>
      <c r="Z327" s="347" t="s">
        <v>540</v>
      </c>
      <c r="AA327" s="83">
        <v>553</v>
      </c>
      <c r="AB327" s="550" t="s">
        <v>544</v>
      </c>
      <c r="AC327" s="83">
        <v>538</v>
      </c>
      <c r="AD327" s="347" t="s">
        <v>1396</v>
      </c>
      <c r="AE327" s="551">
        <v>609</v>
      </c>
    </row>
    <row r="328" spans="1:31" hidden="1" x14ac:dyDescent="0.25">
      <c r="A328" s="90">
        <v>95</v>
      </c>
      <c r="B328" s="123" t="s">
        <v>713</v>
      </c>
      <c r="C328" s="112">
        <v>866</v>
      </c>
      <c r="D328" s="119" t="s">
        <v>714</v>
      </c>
      <c r="E328" s="112">
        <v>795</v>
      </c>
      <c r="F328" s="119" t="s">
        <v>715</v>
      </c>
      <c r="G328" s="112">
        <v>638</v>
      </c>
      <c r="H328" s="119" t="s">
        <v>716</v>
      </c>
      <c r="I328" s="113">
        <v>702</v>
      </c>
      <c r="J328" s="119" t="s">
        <v>717</v>
      </c>
      <c r="K328" s="113">
        <v>668</v>
      </c>
      <c r="L328" s="119" t="s">
        <v>718</v>
      </c>
      <c r="M328" s="124">
        <v>605</v>
      </c>
      <c r="N328" s="123" t="s">
        <v>1016</v>
      </c>
      <c r="O328" s="113">
        <v>733.7</v>
      </c>
      <c r="P328" s="119" t="s">
        <v>1022</v>
      </c>
      <c r="Q328" s="113">
        <v>827.2</v>
      </c>
      <c r="R328" s="342" t="s">
        <v>1033</v>
      </c>
      <c r="S328" s="113">
        <v>925.1</v>
      </c>
      <c r="T328" s="342" t="s">
        <v>1039</v>
      </c>
      <c r="U328" s="349">
        <v>1038.4000000000001</v>
      </c>
      <c r="V328" s="544" t="s">
        <v>1374</v>
      </c>
      <c r="W328" s="546">
        <v>959</v>
      </c>
      <c r="X328" s="545" t="s">
        <v>1380</v>
      </c>
      <c r="Y328" s="546">
        <v>679</v>
      </c>
      <c r="Z328" s="545" t="s">
        <v>1381</v>
      </c>
      <c r="AA328" s="546">
        <v>654</v>
      </c>
      <c r="AB328" s="545" t="s">
        <v>1388</v>
      </c>
      <c r="AC328" s="546">
        <v>663</v>
      </c>
      <c r="AD328" s="545" t="s">
        <v>1397</v>
      </c>
      <c r="AE328" s="549">
        <v>710</v>
      </c>
    </row>
    <row r="329" spans="1:31" hidden="1" x14ac:dyDescent="0.25">
      <c r="A329" s="80">
        <v>105</v>
      </c>
      <c r="B329" s="125" t="s">
        <v>719</v>
      </c>
      <c r="C329" s="110">
        <v>958</v>
      </c>
      <c r="D329" s="120" t="s">
        <v>720</v>
      </c>
      <c r="E329" s="110">
        <v>879</v>
      </c>
      <c r="F329" s="120" t="s">
        <v>721</v>
      </c>
      <c r="G329" s="110">
        <v>706</v>
      </c>
      <c r="H329" s="120" t="s">
        <v>722</v>
      </c>
      <c r="I329" s="111">
        <v>776</v>
      </c>
      <c r="J329" s="120" t="s">
        <v>723</v>
      </c>
      <c r="K329" s="111">
        <v>739</v>
      </c>
      <c r="L329" s="120" t="s">
        <v>724</v>
      </c>
      <c r="M329" s="126">
        <v>669</v>
      </c>
      <c r="N329" s="125" t="s">
        <v>1017</v>
      </c>
      <c r="O329" s="111">
        <v>820.6</v>
      </c>
      <c r="P329" s="120" t="s">
        <v>1023</v>
      </c>
      <c r="Q329" s="111">
        <v>926.2</v>
      </c>
      <c r="R329" s="68" t="s">
        <v>1028</v>
      </c>
      <c r="S329" s="111">
        <v>1037.3</v>
      </c>
      <c r="T329" s="68" t="s">
        <v>1034</v>
      </c>
      <c r="U329" s="139">
        <v>1163.8</v>
      </c>
      <c r="V329" s="346" t="s">
        <v>1369</v>
      </c>
      <c r="W329" s="547">
        <v>1060</v>
      </c>
      <c r="X329" s="347" t="s">
        <v>1375</v>
      </c>
      <c r="Y329" s="547">
        <v>750</v>
      </c>
      <c r="Z329" s="347" t="s">
        <v>1382</v>
      </c>
      <c r="AA329" s="83">
        <v>723</v>
      </c>
      <c r="AB329" s="550" t="s">
        <v>1389</v>
      </c>
      <c r="AC329" s="83">
        <v>733</v>
      </c>
      <c r="AD329" s="347" t="s">
        <v>1398</v>
      </c>
      <c r="AE329" s="551">
        <v>785</v>
      </c>
    </row>
    <row r="330" spans="1:31" hidden="1" x14ac:dyDescent="0.25">
      <c r="A330" s="90">
        <v>115</v>
      </c>
      <c r="B330" s="123" t="s">
        <v>725</v>
      </c>
      <c r="C330" s="112">
        <v>1049</v>
      </c>
      <c r="D330" s="119" t="s">
        <v>726</v>
      </c>
      <c r="E330" s="112">
        <v>963</v>
      </c>
      <c r="F330" s="119" t="s">
        <v>727</v>
      </c>
      <c r="G330" s="112">
        <v>773</v>
      </c>
      <c r="H330" s="119" t="s">
        <v>728</v>
      </c>
      <c r="I330" s="113">
        <v>850</v>
      </c>
      <c r="J330" s="119" t="s">
        <v>729</v>
      </c>
      <c r="K330" s="113">
        <v>809</v>
      </c>
      <c r="L330" s="119" t="s">
        <v>730</v>
      </c>
      <c r="M330" s="124">
        <v>733</v>
      </c>
      <c r="N330" s="123" t="s">
        <v>1018</v>
      </c>
      <c r="O330" s="113">
        <v>907.5</v>
      </c>
      <c r="P330" s="119" t="s">
        <v>1024</v>
      </c>
      <c r="Q330" s="113">
        <v>1025.2</v>
      </c>
      <c r="R330" s="87" t="s">
        <v>1029</v>
      </c>
      <c r="S330" s="113">
        <v>1149.5</v>
      </c>
      <c r="T330" s="87" t="s">
        <v>1035</v>
      </c>
      <c r="U330" s="349">
        <v>1289.2</v>
      </c>
      <c r="V330" s="544" t="s">
        <v>1370</v>
      </c>
      <c r="W330" s="546">
        <v>1161</v>
      </c>
      <c r="X330" s="545" t="s">
        <v>1376</v>
      </c>
      <c r="Y330" s="546">
        <v>822</v>
      </c>
      <c r="Z330" s="545" t="s">
        <v>1383</v>
      </c>
      <c r="AA330" s="546">
        <v>792</v>
      </c>
      <c r="AB330" s="545" t="s">
        <v>1390</v>
      </c>
      <c r="AC330" s="546">
        <v>803</v>
      </c>
      <c r="AD330" s="545" t="s">
        <v>1399</v>
      </c>
      <c r="AE330" s="549">
        <v>859</v>
      </c>
    </row>
    <row r="331" spans="1:31" hidden="1" x14ac:dyDescent="0.25">
      <c r="A331" s="80">
        <v>125</v>
      </c>
      <c r="B331" s="125" t="s">
        <v>731</v>
      </c>
      <c r="C331" s="110">
        <v>1140</v>
      </c>
      <c r="D331" s="120" t="s">
        <v>732</v>
      </c>
      <c r="E331" s="110">
        <v>1047</v>
      </c>
      <c r="F331" s="120" t="s">
        <v>733</v>
      </c>
      <c r="G331" s="110">
        <v>840</v>
      </c>
      <c r="H331" s="120" t="s">
        <v>734</v>
      </c>
      <c r="I331" s="111">
        <v>924</v>
      </c>
      <c r="J331" s="120" t="s">
        <v>735</v>
      </c>
      <c r="K331" s="111">
        <v>879</v>
      </c>
      <c r="L331" s="120" t="s">
        <v>736</v>
      </c>
      <c r="M331" s="126">
        <v>797</v>
      </c>
      <c r="N331" s="125" t="s">
        <v>1019</v>
      </c>
      <c r="O331" s="111">
        <v>994.4</v>
      </c>
      <c r="P331" s="120" t="s">
        <v>1025</v>
      </c>
      <c r="Q331" s="111">
        <v>1124.2</v>
      </c>
      <c r="R331" s="68" t="s">
        <v>1030</v>
      </c>
      <c r="S331" s="111">
        <v>1261.7</v>
      </c>
      <c r="T331" s="68" t="s">
        <v>1036</v>
      </c>
      <c r="U331" s="139">
        <v>1414.6</v>
      </c>
      <c r="V331" s="346" t="s">
        <v>1371</v>
      </c>
      <c r="W331" s="547">
        <v>1261</v>
      </c>
      <c r="X331" s="347" t="s">
        <v>1377</v>
      </c>
      <c r="Y331" s="547">
        <v>893</v>
      </c>
      <c r="Z331" s="347" t="s">
        <v>1384</v>
      </c>
      <c r="AA331" s="83">
        <v>861</v>
      </c>
      <c r="AB331" s="550" t="s">
        <v>1391</v>
      </c>
      <c r="AC331" s="83">
        <v>872</v>
      </c>
      <c r="AD331" s="347" t="s">
        <v>1400</v>
      </c>
      <c r="AE331" s="551">
        <v>934</v>
      </c>
    </row>
    <row r="332" spans="1:31" hidden="1" x14ac:dyDescent="0.25">
      <c r="A332" s="90">
        <v>135</v>
      </c>
      <c r="B332" s="123" t="s">
        <v>737</v>
      </c>
      <c r="C332" s="112">
        <v>1231</v>
      </c>
      <c r="D332" s="119" t="s">
        <v>738</v>
      </c>
      <c r="E332" s="112">
        <v>1130</v>
      </c>
      <c r="F332" s="119" t="s">
        <v>739</v>
      </c>
      <c r="G332" s="112">
        <v>907</v>
      </c>
      <c r="H332" s="119" t="s">
        <v>740</v>
      </c>
      <c r="I332" s="113">
        <v>998</v>
      </c>
      <c r="J332" s="119" t="s">
        <v>741</v>
      </c>
      <c r="K332" s="113">
        <v>950</v>
      </c>
      <c r="L332" s="119" t="s">
        <v>742</v>
      </c>
      <c r="M332" s="124">
        <v>860</v>
      </c>
      <c r="N332" s="123" t="s">
        <v>1020</v>
      </c>
      <c r="O332" s="113">
        <v>1081.3</v>
      </c>
      <c r="P332" s="119" t="s">
        <v>1026</v>
      </c>
      <c r="Q332" s="113">
        <v>1223.2</v>
      </c>
      <c r="R332" s="87" t="s">
        <v>1031</v>
      </c>
      <c r="S332" s="113">
        <v>1373.9</v>
      </c>
      <c r="T332" s="87" t="s">
        <v>1037</v>
      </c>
      <c r="U332" s="349">
        <v>1540</v>
      </c>
      <c r="V332" s="544" t="s">
        <v>1372</v>
      </c>
      <c r="W332" s="546">
        <v>1363</v>
      </c>
      <c r="X332" s="545" t="s">
        <v>1378</v>
      </c>
      <c r="Y332" s="546">
        <v>965</v>
      </c>
      <c r="Z332" s="545" t="s">
        <v>1385</v>
      </c>
      <c r="AA332" s="546">
        <v>929</v>
      </c>
      <c r="AB332" s="545" t="s">
        <v>1392</v>
      </c>
      <c r="AC332" s="546">
        <v>942</v>
      </c>
      <c r="AD332" s="545" t="s">
        <v>1401</v>
      </c>
      <c r="AE332" s="549">
        <v>1009</v>
      </c>
    </row>
    <row r="333" spans="1:31" ht="15.75" hidden="1" thickBot="1" x14ac:dyDescent="0.3">
      <c r="A333" s="81">
        <v>145</v>
      </c>
      <c r="B333" s="127" t="s">
        <v>743</v>
      </c>
      <c r="C333" s="128">
        <v>1322</v>
      </c>
      <c r="D333" s="129" t="s">
        <v>744</v>
      </c>
      <c r="E333" s="128">
        <v>1214</v>
      </c>
      <c r="F333" s="129" t="s">
        <v>745</v>
      </c>
      <c r="G333" s="128">
        <v>974</v>
      </c>
      <c r="H333" s="129" t="s">
        <v>746</v>
      </c>
      <c r="I333" s="130">
        <v>1072</v>
      </c>
      <c r="J333" s="129" t="s">
        <v>747</v>
      </c>
      <c r="K333" s="130">
        <v>1020</v>
      </c>
      <c r="L333" s="129" t="s">
        <v>748</v>
      </c>
      <c r="M333" s="131">
        <v>924</v>
      </c>
      <c r="N333" s="127" t="s">
        <v>1021</v>
      </c>
      <c r="O333" s="130">
        <v>1168.2</v>
      </c>
      <c r="P333" s="129" t="s">
        <v>1027</v>
      </c>
      <c r="Q333" s="130">
        <v>1322.2</v>
      </c>
      <c r="R333" s="343" t="s">
        <v>1032</v>
      </c>
      <c r="S333" s="130">
        <v>1486.1</v>
      </c>
      <c r="T333" s="343" t="s">
        <v>1038</v>
      </c>
      <c r="U333" s="350">
        <v>1665.4</v>
      </c>
      <c r="V333" s="552" t="s">
        <v>1373</v>
      </c>
      <c r="W333" s="553">
        <v>1464</v>
      </c>
      <c r="X333" s="554" t="s">
        <v>1379</v>
      </c>
      <c r="Y333" s="553">
        <v>1036</v>
      </c>
      <c r="Z333" s="554" t="s">
        <v>1386</v>
      </c>
      <c r="AA333" s="555">
        <v>998</v>
      </c>
      <c r="AB333" s="556" t="s">
        <v>1393</v>
      </c>
      <c r="AC333" s="555">
        <v>1012</v>
      </c>
      <c r="AD333" s="554" t="s">
        <v>1402</v>
      </c>
      <c r="AE333" s="557">
        <v>1084</v>
      </c>
    </row>
    <row r="334" spans="1:31" hidden="1" x14ac:dyDescent="0.25"/>
    <row r="335" spans="1:31" hidden="1" x14ac:dyDescent="0.25">
      <c r="A335" s="42" t="s">
        <v>929</v>
      </c>
      <c r="B335" s="33"/>
      <c r="C335" s="33"/>
      <c r="D335" s="33"/>
      <c r="E335" s="33"/>
      <c r="F335" s="38"/>
      <c r="G335" s="33"/>
      <c r="H335" s="33"/>
      <c r="I335" s="33"/>
      <c r="J335" s="33"/>
      <c r="K335" s="33"/>
      <c r="L335" s="33"/>
      <c r="M335" s="33"/>
      <c r="N335" s="33"/>
      <c r="O335" s="33"/>
      <c r="P335" s="33"/>
      <c r="Q335" s="33"/>
      <c r="R335" s="33"/>
      <c r="S335" s="33"/>
      <c r="T335" s="33"/>
    </row>
    <row r="336" spans="1:31" hidden="1" x14ac:dyDescent="0.25"/>
    <row r="337" spans="1:20" hidden="1" x14ac:dyDescent="0.25">
      <c r="A337" s="3" t="s">
        <v>757</v>
      </c>
    </row>
    <row r="338" spans="1:20" hidden="1" x14ac:dyDescent="0.25"/>
    <row r="339" spans="1:20" hidden="1" x14ac:dyDescent="0.25">
      <c r="A339" s="779" t="s">
        <v>749</v>
      </c>
      <c r="B339" s="779"/>
      <c r="C339" s="779"/>
      <c r="D339" s="779"/>
      <c r="E339" s="779"/>
    </row>
    <row r="340" spans="1:20" hidden="1" x14ac:dyDescent="0.25"/>
    <row r="341" spans="1:20" hidden="1" x14ac:dyDescent="0.25">
      <c r="A341" s="25" t="s">
        <v>693</v>
      </c>
      <c r="B341" s="26" t="s">
        <v>750</v>
      </c>
      <c r="C341" s="358" t="e">
        <f>IF(B16=1,VLOOKUP(C309,B324:C333,2,FALSE),#N/A)</f>
        <v>#N/A</v>
      </c>
      <c r="D341" s="183">
        <f>IFERROR(C341,0)</f>
        <v>0</v>
      </c>
      <c r="E341" s="25" t="s">
        <v>1041</v>
      </c>
      <c r="F341" s="26" t="s">
        <v>750</v>
      </c>
      <c r="G341" s="356" t="e">
        <f>IF(B16=1,VLOOKUP(C309,N324:O333,2,FALSE),#N/A)</f>
        <v>#N/A</v>
      </c>
      <c r="H341" s="183">
        <f>IFERROR(G341,0)</f>
        <v>0</v>
      </c>
      <c r="I341" s="25" t="s">
        <v>1359</v>
      </c>
      <c r="J341" s="26" t="s">
        <v>750</v>
      </c>
      <c r="K341" s="356" t="e">
        <f>IF(B16=1,VLOOKUP(C309,V324:W333,2,FALSE),#N/A)</f>
        <v>#N/A</v>
      </c>
      <c r="L341" s="183">
        <f>IFERROR(K341,0)</f>
        <v>0</v>
      </c>
    </row>
    <row r="342" spans="1:20" hidden="1" x14ac:dyDescent="0.25">
      <c r="A342" s="19"/>
      <c r="B342" s="1" t="s">
        <v>751</v>
      </c>
      <c r="C342" s="135" t="e">
        <f>IF(B16=2,VLOOKUP(C309,D324:E333,2,FALSE),#N/A)</f>
        <v>#N/A</v>
      </c>
      <c r="D342" s="111">
        <f t="shared" ref="D342:D346" si="2">IFERROR(C342,0)</f>
        <v>0</v>
      </c>
      <c r="E342" s="357">
        <v>2022</v>
      </c>
      <c r="F342" s="1" t="s">
        <v>751</v>
      </c>
      <c r="G342" s="139" t="e">
        <f>IF(B16=2,VLOOKUP(C309,P324:Q333,2,FALSE),#N/A)</f>
        <v>#N/A</v>
      </c>
      <c r="H342" s="111">
        <f t="shared" ref="H342:H344" si="3">IFERROR(G342,0)</f>
        <v>0</v>
      </c>
      <c r="I342" s="19"/>
      <c r="J342" s="1" t="s">
        <v>751</v>
      </c>
      <c r="K342" s="139" t="e">
        <f>IF(B16=2,VLOOKUP(C309,X324:Y333,2,FALSE),#N/A)</f>
        <v>#N/A</v>
      </c>
      <c r="L342" s="111">
        <f t="shared" ref="L342:L345" si="4">IFERROR(K342,0)</f>
        <v>0</v>
      </c>
    </row>
    <row r="343" spans="1:20" hidden="1" x14ac:dyDescent="0.25">
      <c r="A343" s="19"/>
      <c r="B343" s="1" t="s">
        <v>752</v>
      </c>
      <c r="C343" s="135" t="e">
        <f>IF(B16=3,VLOOKUP(C309,F324:G333,2,FALSE),#N/A)</f>
        <v>#N/A</v>
      </c>
      <c r="D343" s="111">
        <f t="shared" si="2"/>
        <v>0</v>
      </c>
      <c r="E343" s="19"/>
      <c r="F343" s="1" t="s">
        <v>752</v>
      </c>
      <c r="G343" s="139" t="e">
        <f>IF(B16=3,VLOOKUP(C309,R324:S333,2,FALSE),#N/A)</f>
        <v>#N/A</v>
      </c>
      <c r="H343" s="111">
        <f t="shared" si="3"/>
        <v>0</v>
      </c>
      <c r="I343" s="19"/>
      <c r="J343" s="1" t="s">
        <v>752</v>
      </c>
      <c r="K343" s="139" t="e">
        <f>IF(B16=3,VLOOKUP(C309,Z324:AA333,2,FALSE),#N/A)</f>
        <v>#N/A</v>
      </c>
      <c r="L343" s="111">
        <f t="shared" si="4"/>
        <v>0</v>
      </c>
    </row>
    <row r="344" spans="1:20" hidden="1" x14ac:dyDescent="0.25">
      <c r="A344" s="19"/>
      <c r="B344" s="1" t="s">
        <v>753</v>
      </c>
      <c r="C344" s="135" t="e">
        <f>IF(B16=4,VLOOKUP(C309,H324:I333,2,FALSE),#N/A)</f>
        <v>#N/A</v>
      </c>
      <c r="D344" s="111">
        <f t="shared" si="2"/>
        <v>0</v>
      </c>
      <c r="E344" s="19"/>
      <c r="F344" s="1" t="s">
        <v>753</v>
      </c>
      <c r="G344" s="139" t="e">
        <f>IF(B16=4,VLOOKUP(C309,T324:U333,2,FALSE),#N/A)</f>
        <v>#N/A</v>
      </c>
      <c r="H344" s="111">
        <f t="shared" si="3"/>
        <v>0</v>
      </c>
      <c r="I344" s="19"/>
      <c r="J344" s="1" t="s">
        <v>753</v>
      </c>
      <c r="K344" s="139" t="e">
        <f>IF(B16=4,VLOOKUP(C309,AB324:AC333,2,FALSE),#N/A)</f>
        <v>#N/A</v>
      </c>
      <c r="L344" s="111">
        <f t="shared" si="4"/>
        <v>0</v>
      </c>
    </row>
    <row r="345" spans="1:20" hidden="1" x14ac:dyDescent="0.25">
      <c r="A345" s="19"/>
      <c r="B345" s="1" t="s">
        <v>754</v>
      </c>
      <c r="C345" s="135" t="e">
        <f>IF(B16=5,VLOOKUP(C309,J324:K333,2,FALSE),#N/A)</f>
        <v>#N/A</v>
      </c>
      <c r="D345" s="111">
        <f t="shared" si="2"/>
        <v>0</v>
      </c>
      <c r="E345" s="19"/>
      <c r="F345" s="1"/>
      <c r="G345" s="1"/>
      <c r="H345" s="21"/>
      <c r="I345" s="19"/>
      <c r="J345" s="1" t="s">
        <v>754</v>
      </c>
      <c r="K345" s="139" t="e">
        <f>IF(B16=5,VLOOKUP(C309,AD324:AE333,2,FALSE),#N/A)</f>
        <v>#N/A</v>
      </c>
      <c r="L345" s="111">
        <f t="shared" si="4"/>
        <v>0</v>
      </c>
    </row>
    <row r="346" spans="1:20" hidden="1" x14ac:dyDescent="0.25">
      <c r="A346" s="20"/>
      <c r="B346" s="22" t="s">
        <v>755</v>
      </c>
      <c r="C346" s="140" t="e">
        <f>IF(B16=6,VLOOKUP(C309,L324:M333,2,FALSE),#N/A)</f>
        <v>#N/A</v>
      </c>
      <c r="D346" s="138">
        <f t="shared" si="2"/>
        <v>0</v>
      </c>
      <c r="E346" s="20"/>
      <c r="F346" s="22"/>
      <c r="G346" s="22"/>
      <c r="H346" s="23"/>
      <c r="I346" s="20"/>
      <c r="J346" s="22"/>
      <c r="K346" s="22"/>
      <c r="L346" s="23"/>
    </row>
    <row r="347" spans="1:20" hidden="1" x14ac:dyDescent="0.25"/>
    <row r="348" spans="1:20" hidden="1" x14ac:dyDescent="0.25">
      <c r="A348" s="36" t="s">
        <v>756</v>
      </c>
      <c r="B348" s="36"/>
      <c r="C348" s="36"/>
      <c r="D348" s="36"/>
      <c r="E348" s="36"/>
      <c r="F348" s="36"/>
      <c r="G348" s="51" t="e">
        <f>IF(D341&lt;&gt;0,D341,IF(D342&lt;&gt;0,D342,IF(D343&lt;&gt;0,D343,IF(D344&lt;&gt;0,D344,IF(D345&lt;&gt;0,D345,IF(D346&lt;&gt;0,D346,IF(H341&lt;&gt;0,H341,IF(H342&lt;&gt;0,H342,IF(H343&lt;&gt;0,H343,IF(H344&lt;&gt;0,H344,IF(L341&lt;&gt;0,L341,IF(L342&lt;&gt;0,L342,IF(L343&lt;&gt;0,L343,IF(L344&lt;&gt;0,L344,IF(L345&lt;&gt;0,L345,#N/A)))))))))))))))</f>
        <v>#N/A</v>
      </c>
      <c r="H348" s="79" t="s">
        <v>371</v>
      </c>
    </row>
    <row r="349" spans="1:20" hidden="1" x14ac:dyDescent="0.25"/>
    <row r="350" spans="1:20" ht="16.5" hidden="1" customHeight="1" x14ac:dyDescent="0.25">
      <c r="A350" s="42" t="s">
        <v>983</v>
      </c>
      <c r="B350" s="33"/>
      <c r="C350" s="33"/>
      <c r="D350" s="33"/>
      <c r="E350" s="33"/>
      <c r="F350" s="33"/>
      <c r="G350" s="33"/>
      <c r="H350" s="33"/>
      <c r="I350" s="33"/>
      <c r="J350" s="33"/>
      <c r="K350" s="33"/>
      <c r="L350" s="33"/>
      <c r="M350" s="33"/>
      <c r="N350" s="33"/>
      <c r="O350" s="33"/>
      <c r="P350" s="33"/>
      <c r="Q350" s="33"/>
      <c r="R350" s="33"/>
      <c r="S350" s="33"/>
      <c r="T350" s="33"/>
    </row>
    <row r="351" spans="1:20" ht="16.5" hidden="1" customHeight="1" x14ac:dyDescent="0.25"/>
    <row r="352" spans="1:20" ht="16.5" hidden="1" customHeight="1" x14ac:dyDescent="0.25">
      <c r="A352" s="3" t="s">
        <v>413</v>
      </c>
      <c r="C352" s="3" t="str">
        <f>'KdU-Berechnung'!AG32</f>
        <v/>
      </c>
    </row>
    <row r="353" spans="1:20" ht="16.5" hidden="1" customHeight="1" x14ac:dyDescent="0.25">
      <c r="A353" s="3" t="s">
        <v>907</v>
      </c>
      <c r="C353" s="28">
        <f>'KdU-Berechnung'!AG36</f>
        <v>0</v>
      </c>
    </row>
    <row r="354" spans="1:20" ht="16.5" hidden="1" customHeight="1" x14ac:dyDescent="0.25">
      <c r="A354" s="3" t="s">
        <v>908</v>
      </c>
      <c r="C354" s="28">
        <f>IF(AND(C353&lt;&gt;"",C352&lt;&gt;""),C353/C352,0)</f>
        <v>0</v>
      </c>
    </row>
    <row r="355" spans="1:20" ht="16.5" hidden="1" customHeight="1" x14ac:dyDescent="0.25"/>
    <row r="356" spans="1:20" ht="16.5" hidden="1" customHeight="1" x14ac:dyDescent="0.25">
      <c r="A356" s="3" t="s">
        <v>909</v>
      </c>
      <c r="C356" s="3">
        <f>IF(AND(C354&lt;&gt;0,C354&lt;10),1,0)</f>
        <v>0</v>
      </c>
    </row>
    <row r="357" spans="1:20" ht="15.75" hidden="1" customHeight="1" x14ac:dyDescent="0.25"/>
    <row r="358" spans="1:20" ht="18.75" hidden="1" x14ac:dyDescent="0.3">
      <c r="A358" s="37" t="s">
        <v>760</v>
      </c>
      <c r="B358" s="42"/>
      <c r="C358" s="42"/>
      <c r="D358" s="42"/>
      <c r="E358" s="42"/>
      <c r="F358" s="42"/>
      <c r="G358" s="42"/>
      <c r="H358" s="42"/>
      <c r="I358" s="42"/>
      <c r="J358" s="42"/>
      <c r="K358" s="42"/>
      <c r="L358" s="42"/>
      <c r="M358" s="42"/>
      <c r="N358" s="42"/>
      <c r="O358" s="42"/>
      <c r="P358" s="42"/>
      <c r="Q358" s="42"/>
      <c r="R358" s="42"/>
      <c r="S358" s="42"/>
      <c r="T358" s="42"/>
    </row>
    <row r="359" spans="1:20" hidden="1" x14ac:dyDescent="0.25"/>
    <row r="360" spans="1:20" ht="18.75" hidden="1" x14ac:dyDescent="0.3">
      <c r="A360" s="37" t="s">
        <v>800</v>
      </c>
      <c r="B360" s="33"/>
      <c r="C360" s="33"/>
      <c r="D360" s="33"/>
      <c r="E360" s="33"/>
      <c r="F360" s="33"/>
      <c r="G360" s="33"/>
      <c r="H360" s="33"/>
      <c r="I360" s="33"/>
      <c r="J360" s="33"/>
      <c r="K360" s="33"/>
      <c r="L360" s="33"/>
      <c r="M360" s="33"/>
      <c r="N360" s="33"/>
      <c r="O360" s="33"/>
      <c r="P360" s="33"/>
      <c r="Q360" s="33"/>
      <c r="R360" s="33"/>
      <c r="S360" s="33"/>
      <c r="T360" s="33"/>
    </row>
    <row r="361" spans="1:20" hidden="1" x14ac:dyDescent="0.25"/>
    <row r="362" spans="1:20" hidden="1" x14ac:dyDescent="0.25">
      <c r="A362" s="3" t="s">
        <v>763</v>
      </c>
      <c r="D362" s="3">
        <f>IF(C142=0,0, IF(OR(C142=1,C142=2),1,FEHLER))</f>
        <v>0</v>
      </c>
      <c r="F362" s="3" t="s">
        <v>940</v>
      </c>
      <c r="J362" s="3">
        <f>IF(C161&gt;0,1,0)</f>
        <v>0</v>
      </c>
    </row>
    <row r="363" spans="1:20" hidden="1" x14ac:dyDescent="0.25">
      <c r="A363" s="3" t="s">
        <v>778</v>
      </c>
      <c r="D363" s="3">
        <f>IF(C142=0,1,0)</f>
        <v>1</v>
      </c>
    </row>
    <row r="364" spans="1:20" hidden="1" x14ac:dyDescent="0.25"/>
    <row r="365" spans="1:20" hidden="1" x14ac:dyDescent="0.25">
      <c r="A365" s="778" t="s">
        <v>1053</v>
      </c>
      <c r="B365" s="778"/>
      <c r="C365" s="778"/>
      <c r="D365" s="778"/>
      <c r="E365" s="778"/>
      <c r="F365" s="778"/>
      <c r="G365" s="778"/>
      <c r="H365" s="778"/>
      <c r="I365" s="778"/>
      <c r="J365" s="778"/>
    </row>
    <row r="366" spans="1:20" hidden="1" x14ac:dyDescent="0.25">
      <c r="A366" s="778"/>
      <c r="B366" s="778"/>
      <c r="C366" s="778"/>
      <c r="D366" s="778"/>
      <c r="E366" s="778"/>
      <c r="F366" s="778"/>
      <c r="G366" s="778"/>
      <c r="H366" s="778"/>
      <c r="I366" s="778"/>
      <c r="J366" s="778"/>
    </row>
    <row r="367" spans="1:20" hidden="1" x14ac:dyDescent="0.25"/>
    <row r="368" spans="1:20" ht="18.75" hidden="1" x14ac:dyDescent="0.3">
      <c r="A368" s="37" t="s">
        <v>801</v>
      </c>
      <c r="B368" s="33"/>
      <c r="C368" s="33"/>
      <c r="D368" s="33"/>
      <c r="E368" s="33"/>
      <c r="F368" s="33"/>
      <c r="G368" s="33"/>
      <c r="H368" s="33"/>
      <c r="I368" s="33"/>
      <c r="J368" s="33"/>
      <c r="K368" s="33"/>
      <c r="L368" s="33"/>
      <c r="M368" s="33"/>
      <c r="N368" s="33"/>
      <c r="O368" s="33"/>
      <c r="P368" s="33"/>
      <c r="Q368" s="33"/>
      <c r="R368" s="33"/>
      <c r="S368" s="33"/>
      <c r="T368" s="33"/>
    </row>
    <row r="369" spans="1:19" hidden="1" x14ac:dyDescent="0.25">
      <c r="J369" s="141"/>
    </row>
    <row r="370" spans="1:19" hidden="1" x14ac:dyDescent="0.25">
      <c r="A370" s="3" t="s">
        <v>759</v>
      </c>
      <c r="J370" s="141"/>
      <c r="K370" s="3" t="s">
        <v>777</v>
      </c>
    </row>
    <row r="371" spans="1:19" hidden="1" x14ac:dyDescent="0.25">
      <c r="J371" s="141"/>
    </row>
    <row r="372" spans="1:19" hidden="1" x14ac:dyDescent="0.25">
      <c r="A372" s="3" t="s">
        <v>761</v>
      </c>
      <c r="B372" s="28">
        <f>H89</f>
        <v>0</v>
      </c>
      <c r="D372" s="3" t="s">
        <v>762</v>
      </c>
      <c r="E372" s="28" t="e">
        <f>G348</f>
        <v>#N/A</v>
      </c>
      <c r="J372" s="141"/>
      <c r="K372" s="3" t="s">
        <v>761</v>
      </c>
      <c r="L372" s="28">
        <f>H89</f>
        <v>0</v>
      </c>
      <c r="N372" s="3" t="s">
        <v>762</v>
      </c>
      <c r="O372" s="28" t="e">
        <f>G348</f>
        <v>#N/A</v>
      </c>
    </row>
    <row r="373" spans="1:19" hidden="1" x14ac:dyDescent="0.25">
      <c r="D373" s="3" t="s">
        <v>415</v>
      </c>
      <c r="E373" s="28">
        <f>D157</f>
        <v>0</v>
      </c>
      <c r="J373" s="141"/>
    </row>
    <row r="374" spans="1:19" hidden="1" x14ac:dyDescent="0.25">
      <c r="D374" s="3" t="s">
        <v>403</v>
      </c>
      <c r="E374" s="28" t="e">
        <f>E372+E373</f>
        <v>#N/A</v>
      </c>
      <c r="J374" s="141"/>
    </row>
    <row r="375" spans="1:19" ht="27.75" hidden="1" customHeight="1" x14ac:dyDescent="0.25">
      <c r="J375" s="141"/>
    </row>
    <row r="376" spans="1:19" hidden="1" x14ac:dyDescent="0.25">
      <c r="A376" s="133" t="s">
        <v>772</v>
      </c>
      <c r="B376" s="134"/>
      <c r="C376" s="134"/>
      <c r="D376" s="134"/>
      <c r="E376" s="26"/>
      <c r="F376" s="26"/>
      <c r="G376" s="26"/>
      <c r="H376" s="26"/>
      <c r="I376" s="24"/>
      <c r="J376" s="141"/>
      <c r="K376" s="133" t="s">
        <v>780</v>
      </c>
      <c r="L376" s="26"/>
      <c r="M376" s="26"/>
      <c r="N376" s="26"/>
      <c r="O376" s="26"/>
      <c r="P376" s="26"/>
      <c r="Q376" s="26"/>
      <c r="R376" s="26"/>
      <c r="S376" s="24"/>
    </row>
    <row r="377" spans="1:19" hidden="1" x14ac:dyDescent="0.25">
      <c r="A377" s="19"/>
      <c r="B377" s="1"/>
      <c r="C377" s="1"/>
      <c r="D377" s="1"/>
      <c r="E377" s="1"/>
      <c r="F377" s="1"/>
      <c r="G377" s="1" t="s">
        <v>866</v>
      </c>
      <c r="H377" s="1"/>
      <c r="I377" s="111" t="e">
        <f>E372</f>
        <v>#N/A</v>
      </c>
      <c r="J377" s="141"/>
      <c r="K377" s="19"/>
      <c r="L377" s="1"/>
      <c r="M377" s="1"/>
      <c r="N377" s="1"/>
      <c r="O377" s="1"/>
      <c r="P377" s="1"/>
      <c r="Q377" s="1" t="s">
        <v>866</v>
      </c>
      <c r="R377" s="1"/>
      <c r="S377" s="111" t="e">
        <f>O372</f>
        <v>#N/A</v>
      </c>
    </row>
    <row r="378" spans="1:19" hidden="1" x14ac:dyDescent="0.25">
      <c r="A378" s="19" t="s">
        <v>764</v>
      </c>
      <c r="B378" s="137"/>
      <c r="C378" s="137"/>
      <c r="D378" s="137"/>
      <c r="E378" s="1" t="e">
        <f>IF(B372&lt;=E372,1,0)</f>
        <v>#N/A</v>
      </c>
      <c r="F378" s="1"/>
      <c r="G378" s="1" t="s">
        <v>785</v>
      </c>
      <c r="H378" s="1"/>
      <c r="I378" s="110" t="e">
        <f>IF(B372&lt;=E372,B372,"")</f>
        <v>#N/A</v>
      </c>
      <c r="J378" s="141"/>
      <c r="K378" s="20" t="s">
        <v>779</v>
      </c>
      <c r="L378" s="22"/>
      <c r="M378" s="22"/>
      <c r="N378" s="22"/>
      <c r="O378" s="22" t="e">
        <f>IF(L372&lt;=O372,1,0)</f>
        <v>#N/A</v>
      </c>
      <c r="P378" s="22"/>
      <c r="Q378" s="22" t="s">
        <v>788</v>
      </c>
      <c r="R378" s="22"/>
      <c r="S378" s="143" t="e">
        <f>IF(L372&lt;=O372,L372,"")</f>
        <v>#N/A</v>
      </c>
    </row>
    <row r="379" spans="1:19" hidden="1" x14ac:dyDescent="0.25">
      <c r="A379" s="20"/>
      <c r="B379" s="136"/>
      <c r="C379" s="136"/>
      <c r="D379" s="136"/>
      <c r="E379" s="22"/>
      <c r="F379" s="22"/>
      <c r="G379" s="22" t="s">
        <v>784</v>
      </c>
      <c r="H379" s="22"/>
      <c r="I379" s="132" t="e">
        <f>IF(E378=1,0,"")</f>
        <v>#N/A</v>
      </c>
      <c r="J379" s="141"/>
      <c r="K379" s="1"/>
      <c r="L379" s="1"/>
      <c r="M379" s="1"/>
      <c r="N379" s="1"/>
      <c r="O379" s="1"/>
      <c r="P379" s="1"/>
      <c r="Q379" s="1"/>
      <c r="R379" s="1"/>
      <c r="S379" s="1"/>
    </row>
    <row r="380" spans="1:19" ht="37.5" hidden="1" customHeight="1" x14ac:dyDescent="0.25">
      <c r="J380" s="141"/>
    </row>
    <row r="381" spans="1:19" hidden="1" x14ac:dyDescent="0.25">
      <c r="A381" s="133" t="s">
        <v>773</v>
      </c>
      <c r="B381" s="26"/>
      <c r="C381" s="26"/>
      <c r="D381" s="26"/>
      <c r="E381" s="26"/>
      <c r="F381" s="26"/>
      <c r="G381" s="26"/>
      <c r="H381" s="26"/>
      <c r="I381" s="24"/>
      <c r="J381" s="141"/>
    </row>
    <row r="382" spans="1:19" hidden="1" x14ac:dyDescent="0.25">
      <c r="A382" s="19"/>
      <c r="B382" s="1"/>
      <c r="C382" s="1"/>
      <c r="D382" s="1"/>
      <c r="E382" s="1"/>
      <c r="F382" s="1"/>
      <c r="G382" s="1"/>
      <c r="H382" s="1"/>
      <c r="I382" s="21"/>
      <c r="J382" s="141"/>
    </row>
    <row r="383" spans="1:19" hidden="1" x14ac:dyDescent="0.25">
      <c r="A383" s="19" t="s">
        <v>765</v>
      </c>
      <c r="B383" s="1"/>
      <c r="C383" s="1"/>
      <c r="D383" s="1"/>
      <c r="E383" s="1" t="e">
        <f>IF(AND(B372&gt;E372,E385&gt;=0),1,0)</f>
        <v>#N/A</v>
      </c>
      <c r="F383" s="1"/>
      <c r="G383" s="1" t="s">
        <v>767</v>
      </c>
      <c r="H383" s="1"/>
      <c r="I383" s="110" t="e">
        <f>IF(E383=1,B372,"-")</f>
        <v>#N/A</v>
      </c>
      <c r="J383" s="141"/>
    </row>
    <row r="384" spans="1:19" hidden="1" x14ac:dyDescent="0.25">
      <c r="A384" s="19"/>
      <c r="B384" s="1"/>
      <c r="C384" s="1"/>
      <c r="D384" s="1"/>
      <c r="E384" s="1"/>
      <c r="F384" s="1"/>
      <c r="G384" s="1"/>
      <c r="H384" s="1"/>
      <c r="I384" s="110"/>
      <c r="J384" s="141"/>
    </row>
    <row r="385" spans="1:20" hidden="1" x14ac:dyDescent="0.25">
      <c r="A385" s="49" t="s">
        <v>768</v>
      </c>
      <c r="B385" s="1"/>
      <c r="C385" s="1"/>
      <c r="D385" s="1"/>
      <c r="E385" s="135" t="e">
        <f>IF(B372&gt;E372,E374-B372,"-")</f>
        <v>#N/A</v>
      </c>
      <c r="F385" s="1"/>
      <c r="G385" s="1" t="s">
        <v>770</v>
      </c>
      <c r="H385" s="1"/>
      <c r="I385" s="110" t="e">
        <f>IF(E383=1,E372,"-")</f>
        <v>#N/A</v>
      </c>
      <c r="J385" s="141"/>
    </row>
    <row r="386" spans="1:20" hidden="1" x14ac:dyDescent="0.25">
      <c r="A386" s="19"/>
      <c r="B386" s="1"/>
      <c r="C386" s="1"/>
      <c r="D386" s="1"/>
      <c r="E386" s="139"/>
      <c r="F386" s="1"/>
      <c r="G386" s="1"/>
      <c r="H386" s="1"/>
      <c r="I386" s="110"/>
      <c r="J386" s="141"/>
    </row>
    <row r="387" spans="1:20" hidden="1" x14ac:dyDescent="0.25">
      <c r="A387" s="20" t="s">
        <v>769</v>
      </c>
      <c r="B387" s="22"/>
      <c r="C387" s="22"/>
      <c r="D387" s="22"/>
      <c r="E387" s="140" t="e">
        <f>IF(AND(E385&lt;&gt;"-",E385&gt;=0),E373-E385,"-")</f>
        <v>#N/A</v>
      </c>
      <c r="F387" s="22"/>
      <c r="G387" s="22" t="s">
        <v>771</v>
      </c>
      <c r="H387" s="22"/>
      <c r="I387" s="132" t="e">
        <f>IF(E383=1,E387,"-")</f>
        <v>#N/A</v>
      </c>
      <c r="J387" s="141"/>
    </row>
    <row r="388" spans="1:20" hidden="1" x14ac:dyDescent="0.25">
      <c r="J388" s="141"/>
    </row>
    <row r="389" spans="1:20" hidden="1" x14ac:dyDescent="0.25">
      <c r="J389" s="141"/>
    </row>
    <row r="390" spans="1:20" hidden="1" x14ac:dyDescent="0.25">
      <c r="J390" s="141"/>
    </row>
    <row r="391" spans="1:20" hidden="1" x14ac:dyDescent="0.25">
      <c r="A391" s="133" t="s">
        <v>774</v>
      </c>
      <c r="B391" s="26"/>
      <c r="C391" s="26"/>
      <c r="D391" s="26"/>
      <c r="E391" s="26"/>
      <c r="F391" s="26"/>
      <c r="G391" s="26"/>
      <c r="H391" s="26"/>
      <c r="I391" s="24"/>
      <c r="J391" s="141"/>
      <c r="K391" s="133" t="s">
        <v>789</v>
      </c>
      <c r="L391" s="26"/>
      <c r="M391" s="26"/>
      <c r="N391" s="26"/>
      <c r="O391" s="26"/>
      <c r="P391" s="26"/>
      <c r="Q391" s="26"/>
      <c r="R391" s="26"/>
      <c r="S391" s="24"/>
    </row>
    <row r="392" spans="1:20" hidden="1" x14ac:dyDescent="0.25">
      <c r="A392" s="19"/>
      <c r="B392" s="1"/>
      <c r="C392" s="1"/>
      <c r="D392" s="1"/>
      <c r="E392" s="1"/>
      <c r="F392" s="1"/>
      <c r="G392" s="1"/>
      <c r="H392" s="1"/>
      <c r="I392" s="21"/>
      <c r="J392" s="141"/>
      <c r="K392" s="19"/>
      <c r="L392" s="1"/>
      <c r="M392" s="1"/>
      <c r="N392" s="1"/>
      <c r="O392" s="1"/>
      <c r="P392" s="1"/>
      <c r="Q392" s="1"/>
      <c r="R392" s="1"/>
      <c r="S392" s="21"/>
    </row>
    <row r="393" spans="1:20" hidden="1" x14ac:dyDescent="0.25">
      <c r="A393" s="19" t="s">
        <v>766</v>
      </c>
      <c r="B393" s="1"/>
      <c r="C393" s="1"/>
      <c r="D393" s="1"/>
      <c r="E393" s="1" t="e">
        <f>IF(AND(B372&gt;E372,E385&lt;0),1,0)</f>
        <v>#N/A</v>
      </c>
      <c r="F393" s="1"/>
      <c r="G393" s="1" t="s">
        <v>775</v>
      </c>
      <c r="H393" s="1"/>
      <c r="I393" s="110" t="e">
        <f>IF(E393=1,E374,"")</f>
        <v>#N/A</v>
      </c>
      <c r="J393" s="141"/>
      <c r="K393" s="20" t="s">
        <v>790</v>
      </c>
      <c r="L393" s="22"/>
      <c r="M393" s="22"/>
      <c r="N393" s="22"/>
      <c r="O393" s="22" t="e">
        <f>IF(L372&lt;=O372,0,1)</f>
        <v>#N/A</v>
      </c>
      <c r="P393" s="22"/>
      <c r="Q393" s="22" t="s">
        <v>775</v>
      </c>
      <c r="R393" s="22"/>
      <c r="S393" s="138" t="e">
        <f>IF(O393=1,O372,"")</f>
        <v>#N/A</v>
      </c>
    </row>
    <row r="394" spans="1:20" hidden="1" x14ac:dyDescent="0.25">
      <c r="A394" s="19"/>
      <c r="B394" s="1"/>
      <c r="C394" s="1"/>
      <c r="D394" s="1"/>
      <c r="E394" s="1"/>
      <c r="F394" s="1"/>
      <c r="G394" s="1" t="s">
        <v>776</v>
      </c>
      <c r="H394" s="1"/>
      <c r="I394" s="110" t="e">
        <f>IF(E393=1,B372,"")</f>
        <v>#N/A</v>
      </c>
      <c r="J394" s="141"/>
    </row>
    <row r="395" spans="1:20" hidden="1" x14ac:dyDescent="0.25">
      <c r="A395" s="20"/>
      <c r="B395" s="22"/>
      <c r="C395" s="22"/>
      <c r="D395" s="22"/>
      <c r="E395" s="22"/>
      <c r="F395" s="22"/>
      <c r="G395" s="22" t="s">
        <v>783</v>
      </c>
      <c r="H395" s="22"/>
      <c r="I395" s="132" t="e">
        <f>IF(E393=1,E373,"")</f>
        <v>#N/A</v>
      </c>
      <c r="J395" s="141"/>
    </row>
    <row r="396" spans="1:20" hidden="1" x14ac:dyDescent="0.25">
      <c r="A396" s="1"/>
      <c r="B396" s="1"/>
      <c r="C396" s="1"/>
      <c r="D396" s="1"/>
      <c r="E396" s="1"/>
      <c r="F396" s="1"/>
      <c r="G396" s="1"/>
      <c r="H396" s="1"/>
      <c r="I396" s="139"/>
      <c r="J396" s="141"/>
    </row>
    <row r="397" spans="1:20" ht="18.75" hidden="1" x14ac:dyDescent="0.3">
      <c r="A397" s="37" t="s">
        <v>809</v>
      </c>
      <c r="B397" s="33"/>
      <c r="C397" s="33"/>
      <c r="D397" s="33"/>
      <c r="E397" s="33"/>
      <c r="F397" s="33"/>
      <c r="G397" s="33"/>
      <c r="H397" s="33"/>
      <c r="I397" s="33"/>
      <c r="J397" s="33"/>
      <c r="K397" s="33"/>
      <c r="L397" s="33"/>
      <c r="M397" s="33"/>
      <c r="N397" s="33"/>
      <c r="O397" s="33"/>
      <c r="P397" s="33"/>
      <c r="Q397" s="33"/>
      <c r="R397" s="33"/>
      <c r="S397" s="33"/>
      <c r="T397" s="33"/>
    </row>
    <row r="398" spans="1:20" hidden="1" x14ac:dyDescent="0.25">
      <c r="J398" s="141"/>
    </row>
    <row r="399" spans="1:20" hidden="1" x14ac:dyDescent="0.25">
      <c r="A399" s="3" t="s">
        <v>759</v>
      </c>
      <c r="J399" s="141"/>
      <c r="K399" s="3" t="s">
        <v>777</v>
      </c>
    </row>
    <row r="400" spans="1:20" hidden="1" x14ac:dyDescent="0.25">
      <c r="J400" s="141"/>
    </row>
    <row r="401" spans="1:19" hidden="1" x14ac:dyDescent="0.25">
      <c r="A401" s="3" t="s">
        <v>934</v>
      </c>
      <c r="B401" s="28">
        <f>H85</f>
        <v>0</v>
      </c>
      <c r="D401" s="3" t="s">
        <v>782</v>
      </c>
      <c r="G401" s="28" t="e">
        <f>G265</f>
        <v>#N/A</v>
      </c>
      <c r="J401" s="141"/>
      <c r="K401" s="3" t="s">
        <v>781</v>
      </c>
      <c r="L401" s="28">
        <f>H85</f>
        <v>0</v>
      </c>
      <c r="N401" s="3" t="s">
        <v>782</v>
      </c>
      <c r="O401" s="28" t="e">
        <f>G265</f>
        <v>#N/A</v>
      </c>
    </row>
    <row r="402" spans="1:19" hidden="1" x14ac:dyDescent="0.25">
      <c r="A402" s="3" t="s">
        <v>935</v>
      </c>
      <c r="B402" s="28">
        <f>C163</f>
        <v>0</v>
      </c>
      <c r="D402" s="3" t="s">
        <v>786</v>
      </c>
      <c r="G402" s="28" t="e">
        <f>IF(E378=1,I379,IF(E383=1,I387,IF(E393=1,I395,"-")))</f>
        <v>#N/A</v>
      </c>
      <c r="J402" s="141"/>
      <c r="K402" s="3" t="s">
        <v>935</v>
      </c>
      <c r="L402" s="28">
        <f>C163</f>
        <v>0</v>
      </c>
    </row>
    <row r="403" spans="1:19" hidden="1" x14ac:dyDescent="0.25">
      <c r="B403" s="28"/>
      <c r="D403" s="3" t="s">
        <v>1176</v>
      </c>
      <c r="G403" s="28" t="e">
        <f>G402*12/D86</f>
        <v>#N/A</v>
      </c>
      <c r="J403" s="141"/>
      <c r="L403" s="28"/>
    </row>
    <row r="404" spans="1:19" hidden="1" x14ac:dyDescent="0.25">
      <c r="A404" s="179" t="s">
        <v>781</v>
      </c>
      <c r="B404" s="180">
        <f>B402+B401</f>
        <v>0</v>
      </c>
      <c r="D404" s="3" t="s">
        <v>787</v>
      </c>
      <c r="G404" s="28" t="e">
        <f>G401-G403</f>
        <v>#N/A</v>
      </c>
      <c r="J404" s="141"/>
      <c r="K404" s="179" t="s">
        <v>781</v>
      </c>
      <c r="L404" s="180">
        <f>L402+L401</f>
        <v>0</v>
      </c>
    </row>
    <row r="405" spans="1:19" hidden="1" x14ac:dyDescent="0.25">
      <c r="J405" s="141"/>
    </row>
    <row r="406" spans="1:19" hidden="1" x14ac:dyDescent="0.25">
      <c r="A406" s="133" t="s">
        <v>791</v>
      </c>
      <c r="B406" s="26"/>
      <c r="C406" s="26"/>
      <c r="D406" s="26"/>
      <c r="E406" s="26"/>
      <c r="F406" s="26"/>
      <c r="G406" s="26"/>
      <c r="H406" s="26"/>
      <c r="I406" s="24"/>
      <c r="J406" s="141"/>
      <c r="K406" s="133" t="s">
        <v>803</v>
      </c>
      <c r="L406" s="26"/>
      <c r="M406" s="26"/>
      <c r="N406" s="26"/>
      <c r="O406" s="26"/>
      <c r="P406" s="26"/>
      <c r="Q406" s="26"/>
      <c r="R406" s="26"/>
      <c r="S406" s="24"/>
    </row>
    <row r="407" spans="1:19" hidden="1" x14ac:dyDescent="0.25">
      <c r="A407" s="19"/>
      <c r="B407" s="1"/>
      <c r="C407" s="1"/>
      <c r="D407" s="1"/>
      <c r="E407" s="1"/>
      <c r="F407" s="1"/>
      <c r="G407" s="1" t="s">
        <v>868</v>
      </c>
      <c r="H407" s="1"/>
      <c r="I407" s="111" t="e">
        <f>G401</f>
        <v>#N/A</v>
      </c>
      <c r="J407" s="141"/>
      <c r="K407" s="19"/>
      <c r="L407" s="1"/>
      <c r="M407" s="1"/>
      <c r="N407" s="1"/>
      <c r="O407" s="1"/>
      <c r="P407" s="1"/>
      <c r="Q407" s="1" t="s">
        <v>868</v>
      </c>
      <c r="R407" s="1"/>
      <c r="S407" s="111" t="e">
        <f>O401</f>
        <v>#N/A</v>
      </c>
    </row>
    <row r="408" spans="1:19" hidden="1" x14ac:dyDescent="0.25">
      <c r="A408" s="19" t="s">
        <v>792</v>
      </c>
      <c r="B408" s="1"/>
      <c r="C408" s="1"/>
      <c r="D408" s="1"/>
      <c r="E408" s="1" t="e">
        <f>IF(AND(E378=1,B404&lt;=G404),1,0)</f>
        <v>#N/A</v>
      </c>
      <c r="F408" s="1"/>
      <c r="G408" s="1" t="s">
        <v>796</v>
      </c>
      <c r="H408" s="1"/>
      <c r="I408" s="110" t="e">
        <f>IF(E408=1,B404,"")</f>
        <v>#N/A</v>
      </c>
      <c r="J408" s="141"/>
      <c r="K408" s="20" t="s">
        <v>804</v>
      </c>
      <c r="L408" s="22"/>
      <c r="M408" s="22"/>
      <c r="N408" s="22"/>
      <c r="O408" s="22" t="e">
        <f>IF(L404&lt;=O401,1,0)</f>
        <v>#N/A</v>
      </c>
      <c r="P408" s="22"/>
      <c r="Q408" s="22" t="s">
        <v>805</v>
      </c>
      <c r="R408" s="22"/>
      <c r="S408" s="132" t="e">
        <f>IF(O408=1,L404,"")</f>
        <v>#N/A</v>
      </c>
    </row>
    <row r="409" spans="1:19" hidden="1" x14ac:dyDescent="0.25">
      <c r="A409" s="19"/>
      <c r="B409" s="1"/>
      <c r="C409" s="1"/>
      <c r="D409" s="1"/>
      <c r="E409" s="1"/>
      <c r="F409" s="1"/>
      <c r="G409" s="1"/>
      <c r="H409" s="1"/>
      <c r="I409" s="110"/>
      <c r="J409" s="141"/>
    </row>
    <row r="410" spans="1:19" hidden="1" x14ac:dyDescent="0.25">
      <c r="A410" s="20" t="s">
        <v>794</v>
      </c>
      <c r="B410" s="22"/>
      <c r="C410" s="22"/>
      <c r="D410" s="22"/>
      <c r="E410" s="22" t="e">
        <f>IF(AND(E378=1,B404&gt;G404),1,0)</f>
        <v>#N/A</v>
      </c>
      <c r="F410" s="22"/>
      <c r="G410" s="22" t="s">
        <v>795</v>
      </c>
      <c r="H410" s="22"/>
      <c r="I410" s="143" t="e">
        <f>IF(E410=1,G404,"")</f>
        <v>#N/A</v>
      </c>
      <c r="J410" s="141"/>
    </row>
    <row r="411" spans="1:19" hidden="1" x14ac:dyDescent="0.25">
      <c r="J411" s="141"/>
    </row>
    <row r="412" spans="1:19" hidden="1" x14ac:dyDescent="0.25">
      <c r="A412" s="133" t="s">
        <v>817</v>
      </c>
      <c r="B412" s="26"/>
      <c r="C412" s="26"/>
      <c r="D412" s="26"/>
      <c r="E412" s="26"/>
      <c r="F412" s="26"/>
      <c r="G412" s="26"/>
      <c r="H412" s="26"/>
      <c r="I412" s="24"/>
      <c r="J412" s="141"/>
      <c r="K412" s="133" t="s">
        <v>806</v>
      </c>
      <c r="L412" s="26"/>
      <c r="M412" s="26"/>
      <c r="N412" s="26"/>
      <c r="O412" s="26"/>
      <c r="P412" s="26"/>
      <c r="Q412" s="26"/>
      <c r="R412" s="26"/>
      <c r="S412" s="24"/>
    </row>
    <row r="413" spans="1:19" hidden="1" x14ac:dyDescent="0.25">
      <c r="A413" s="19"/>
      <c r="B413" s="1"/>
      <c r="C413" s="1"/>
      <c r="D413" s="1"/>
      <c r="E413" s="1"/>
      <c r="F413" s="1"/>
      <c r="G413" s="1" t="s">
        <v>869</v>
      </c>
      <c r="H413" s="1"/>
      <c r="I413" s="111" t="e">
        <f>G404</f>
        <v>#N/A</v>
      </c>
      <c r="J413" s="141"/>
      <c r="K413" s="19"/>
      <c r="L413" s="1"/>
      <c r="M413" s="1"/>
      <c r="N413" s="1"/>
      <c r="O413" s="1"/>
      <c r="P413" s="1"/>
      <c r="Q413" s="1"/>
      <c r="R413" s="1"/>
      <c r="S413" s="21"/>
    </row>
    <row r="414" spans="1:19" hidden="1" x14ac:dyDescent="0.25">
      <c r="A414" s="19" t="s">
        <v>793</v>
      </c>
      <c r="B414" s="1"/>
      <c r="C414" s="1"/>
      <c r="D414" s="1"/>
      <c r="E414" s="1" t="e">
        <f>IF(AND(OR(E383=1,E393=1),B404&lt;=G404),1,0)</f>
        <v>#N/A</v>
      </c>
      <c r="F414" s="1"/>
      <c r="G414" s="1" t="s">
        <v>796</v>
      </c>
      <c r="H414" s="1"/>
      <c r="I414" s="110" t="e">
        <f>IF(E414=1,B404,"")</f>
        <v>#N/A</v>
      </c>
      <c r="J414" s="141"/>
      <c r="K414" s="19"/>
      <c r="L414" s="1"/>
      <c r="M414" s="1"/>
      <c r="N414" s="1"/>
      <c r="O414" s="1"/>
      <c r="P414" s="1"/>
      <c r="Q414" s="1"/>
      <c r="R414" s="1"/>
      <c r="S414" s="21"/>
    </row>
    <row r="415" spans="1:19" hidden="1" x14ac:dyDescent="0.25">
      <c r="A415" s="19"/>
      <c r="B415" s="1"/>
      <c r="C415" s="1"/>
      <c r="D415" s="1"/>
      <c r="E415" s="1"/>
      <c r="F415" s="1"/>
      <c r="G415" s="1"/>
      <c r="H415" s="1"/>
      <c r="I415" s="21"/>
      <c r="J415" s="141"/>
      <c r="K415" s="19"/>
      <c r="L415" s="1"/>
      <c r="M415" s="1"/>
      <c r="N415" s="1"/>
      <c r="O415" s="1"/>
      <c r="P415" s="1"/>
      <c r="Q415" s="1"/>
      <c r="R415" s="1"/>
      <c r="S415" s="21"/>
    </row>
    <row r="416" spans="1:19" hidden="1" x14ac:dyDescent="0.25">
      <c r="A416" s="19" t="s">
        <v>797</v>
      </c>
      <c r="B416" s="1"/>
      <c r="C416" s="1"/>
      <c r="D416" s="1"/>
      <c r="E416" s="1" t="e">
        <f>IF(AND(OR(E383=1,E393=1),B404&gt;G404),1,0)</f>
        <v>#N/A</v>
      </c>
      <c r="F416" s="1"/>
      <c r="G416" s="1" t="s">
        <v>798</v>
      </c>
      <c r="H416" s="1"/>
      <c r="I416" s="110" t="e">
        <f>IF(E416=1,G404,"")</f>
        <v>#N/A</v>
      </c>
      <c r="J416" s="141"/>
      <c r="K416" s="19" t="s">
        <v>807</v>
      </c>
      <c r="L416" s="1"/>
      <c r="M416" s="1"/>
      <c r="N416" s="1"/>
      <c r="O416" s="1" t="e">
        <f>IF(L404&gt;O401,1,0)</f>
        <v>#N/A</v>
      </c>
      <c r="P416" s="1"/>
      <c r="Q416" s="1" t="s">
        <v>808</v>
      </c>
      <c r="R416" s="1"/>
      <c r="S416" s="21" t="e">
        <f>IF(O416=1,O401,"")</f>
        <v>#N/A</v>
      </c>
    </row>
    <row r="417" spans="1:20" hidden="1" x14ac:dyDescent="0.25">
      <c r="A417" s="20"/>
      <c r="B417" s="22"/>
      <c r="C417" s="22"/>
      <c r="D417" s="22"/>
      <c r="E417" s="22"/>
      <c r="F417" s="22"/>
      <c r="G417" s="22" t="s">
        <v>799</v>
      </c>
      <c r="H417" s="22"/>
      <c r="I417" s="23"/>
      <c r="J417" s="141"/>
      <c r="K417" s="20"/>
      <c r="L417" s="22"/>
      <c r="M417" s="22"/>
      <c r="N417" s="22"/>
      <c r="O417" s="22"/>
      <c r="P417" s="22"/>
      <c r="Q417" s="22"/>
      <c r="R417" s="22"/>
      <c r="S417" s="23"/>
    </row>
    <row r="418" spans="1:20" hidden="1" x14ac:dyDescent="0.25">
      <c r="J418" s="141"/>
    </row>
    <row r="419" spans="1:20" ht="18.75" hidden="1" x14ac:dyDescent="0.3">
      <c r="A419" s="37" t="s">
        <v>810</v>
      </c>
      <c r="B419" s="33"/>
      <c r="C419" s="33"/>
      <c r="D419" s="33"/>
      <c r="E419" s="33"/>
      <c r="F419" s="33"/>
      <c r="G419" s="33"/>
      <c r="H419" s="33"/>
      <c r="I419" s="33"/>
      <c r="J419" s="33"/>
      <c r="K419" s="33"/>
      <c r="L419" s="33"/>
      <c r="M419" s="33"/>
      <c r="N419" s="33"/>
      <c r="O419" s="33"/>
      <c r="P419" s="33"/>
      <c r="Q419" s="33"/>
      <c r="R419" s="33"/>
      <c r="S419" s="33"/>
      <c r="T419" s="33"/>
    </row>
    <row r="420" spans="1:20" hidden="1" x14ac:dyDescent="0.25">
      <c r="J420" s="155"/>
    </row>
    <row r="421" spans="1:20" hidden="1" x14ac:dyDescent="0.25">
      <c r="A421" s="27" t="s">
        <v>759</v>
      </c>
      <c r="J421" s="155"/>
      <c r="K421" s="27" t="s">
        <v>777</v>
      </c>
    </row>
    <row r="422" spans="1:20" hidden="1" x14ac:dyDescent="0.25">
      <c r="J422" s="155"/>
    </row>
    <row r="423" spans="1:20" hidden="1" x14ac:dyDescent="0.25">
      <c r="A423" s="3" t="s">
        <v>811</v>
      </c>
      <c r="B423" s="3" t="s">
        <v>812</v>
      </c>
      <c r="E423" s="3" t="e">
        <f>E378</f>
        <v>#N/A</v>
      </c>
      <c r="J423" s="155"/>
      <c r="K423" s="3" t="s">
        <v>811</v>
      </c>
      <c r="L423" s="3" t="s">
        <v>838</v>
      </c>
      <c r="O423" s="3" t="e">
        <f>O378</f>
        <v>#N/A</v>
      </c>
    </row>
    <row r="424" spans="1:20" hidden="1" x14ac:dyDescent="0.25">
      <c r="J424" s="155"/>
      <c r="L424" s="3" t="s">
        <v>839</v>
      </c>
      <c r="O424" s="3" t="e">
        <f>O393</f>
        <v>#N/A</v>
      </c>
    </row>
    <row r="425" spans="1:20" hidden="1" x14ac:dyDescent="0.25">
      <c r="B425" s="3" t="s">
        <v>813</v>
      </c>
      <c r="E425" s="3" t="e">
        <f>E383</f>
        <v>#N/A</v>
      </c>
      <c r="J425" s="155"/>
    </row>
    <row r="426" spans="1:20" hidden="1" x14ac:dyDescent="0.25">
      <c r="B426" s="3" t="s">
        <v>814</v>
      </c>
      <c r="E426" s="3" t="e">
        <f>E393</f>
        <v>#N/A</v>
      </c>
      <c r="J426" s="155"/>
      <c r="K426" s="3" t="s">
        <v>815</v>
      </c>
      <c r="L426" s="3" t="s">
        <v>838</v>
      </c>
      <c r="O426" s="3" t="e">
        <f>O408</f>
        <v>#N/A</v>
      </c>
    </row>
    <row r="427" spans="1:20" hidden="1" x14ac:dyDescent="0.25">
      <c r="J427" s="155"/>
      <c r="L427" s="3" t="s">
        <v>839</v>
      </c>
      <c r="O427" s="3" t="e">
        <f>O416</f>
        <v>#N/A</v>
      </c>
    </row>
    <row r="428" spans="1:20" hidden="1" x14ac:dyDescent="0.25">
      <c r="A428" s="3" t="s">
        <v>815</v>
      </c>
      <c r="B428" s="3" t="s">
        <v>812</v>
      </c>
      <c r="E428" s="3" t="e">
        <f>E408</f>
        <v>#N/A</v>
      </c>
      <c r="J428" s="155"/>
    </row>
    <row r="429" spans="1:20" hidden="1" x14ac:dyDescent="0.25">
      <c r="B429" s="3" t="s">
        <v>816</v>
      </c>
      <c r="E429" s="3" t="e">
        <f>E410</f>
        <v>#N/A</v>
      </c>
      <c r="J429" s="155"/>
    </row>
    <row r="430" spans="1:20" hidden="1" x14ac:dyDescent="0.25">
      <c r="J430" s="155"/>
    </row>
    <row r="431" spans="1:20" hidden="1" x14ac:dyDescent="0.25">
      <c r="B431" s="3" t="s">
        <v>813</v>
      </c>
      <c r="E431" s="3" t="e">
        <f>E414</f>
        <v>#N/A</v>
      </c>
      <c r="J431" s="155"/>
    </row>
    <row r="432" spans="1:20" hidden="1" x14ac:dyDescent="0.25">
      <c r="B432" s="3" t="s">
        <v>814</v>
      </c>
      <c r="E432" s="3" t="e">
        <f>E416</f>
        <v>#N/A</v>
      </c>
      <c r="J432" s="155"/>
    </row>
    <row r="433" spans="1:16" hidden="1" x14ac:dyDescent="0.25">
      <c r="J433" s="155"/>
    </row>
    <row r="434" spans="1:16" hidden="1" x14ac:dyDescent="0.25">
      <c r="J434" s="155"/>
    </row>
    <row r="435" spans="1:16" hidden="1" x14ac:dyDescent="0.25">
      <c r="A435" s="142" t="s">
        <v>840</v>
      </c>
      <c r="B435" s="142"/>
      <c r="C435" s="142"/>
      <c r="D435" s="142"/>
      <c r="E435" s="142">
        <f>D362</f>
        <v>0</v>
      </c>
      <c r="J435" s="155"/>
      <c r="K435" s="142" t="s">
        <v>841</v>
      </c>
      <c r="L435" s="142"/>
      <c r="M435" s="142"/>
      <c r="N435" s="142"/>
      <c r="O435" s="142">
        <f>D363</f>
        <v>1</v>
      </c>
    </row>
    <row r="436" spans="1:16" hidden="1" x14ac:dyDescent="0.25">
      <c r="J436" s="155"/>
    </row>
    <row r="437" spans="1:16" hidden="1" x14ac:dyDescent="0.25">
      <c r="A437" s="142" t="s">
        <v>819</v>
      </c>
      <c r="B437" s="142"/>
      <c r="C437" s="142"/>
      <c r="D437" s="142"/>
      <c r="E437" s="142" t="e">
        <f>IF(OR(AND(E425=1,E431=1),AND(E423=1,E428=1),),1,0)</f>
        <v>#N/A</v>
      </c>
      <c r="J437" s="155"/>
      <c r="K437" s="142" t="s">
        <v>819</v>
      </c>
      <c r="L437" s="142"/>
      <c r="M437" s="142"/>
      <c r="N437" s="142"/>
      <c r="O437" s="142" t="e">
        <f>IF(AND(O423=1,O426=1),1,0)</f>
        <v>#N/A</v>
      </c>
    </row>
    <row r="438" spans="1:16" hidden="1" x14ac:dyDescent="0.25">
      <c r="J438" s="155"/>
    </row>
    <row r="439" spans="1:16" hidden="1" x14ac:dyDescent="0.25">
      <c r="A439" s="142" t="s">
        <v>820</v>
      </c>
      <c r="B439" s="142"/>
      <c r="C439" s="142"/>
      <c r="D439" s="142"/>
      <c r="E439" s="142" t="e">
        <f>IF(OR(AND(E423=1,E429=1),AND(E425=1,E432),AND(E426=1,E431=1),AND(E432=1,E426=1)),1,0)</f>
        <v>#N/A</v>
      </c>
      <c r="J439" s="155"/>
      <c r="K439" s="142" t="s">
        <v>818</v>
      </c>
      <c r="L439" s="142"/>
      <c r="M439" s="142"/>
      <c r="N439" s="142"/>
      <c r="O439" s="142" t="e">
        <f>IF(OR(AND(O424=1,O426=1),AND(O423=1,O426=1),AND(O424=1,O427=1)),1,0)</f>
        <v>#N/A</v>
      </c>
    </row>
    <row r="440" spans="1:16" hidden="1" x14ac:dyDescent="0.25">
      <c r="J440" s="155"/>
    </row>
    <row r="441" spans="1:16" hidden="1" x14ac:dyDescent="0.25">
      <c r="A441" s="3" t="s">
        <v>821</v>
      </c>
      <c r="J441" s="155"/>
      <c r="K441" s="3" t="s">
        <v>821</v>
      </c>
    </row>
    <row r="442" spans="1:16" hidden="1" x14ac:dyDescent="0.25">
      <c r="J442" s="155"/>
    </row>
    <row r="443" spans="1:16" hidden="1" x14ac:dyDescent="0.25">
      <c r="A443" s="3" t="s">
        <v>823</v>
      </c>
      <c r="B443" s="28">
        <f>H83-H85</f>
        <v>0</v>
      </c>
      <c r="C443" s="28">
        <f>H83-H85</f>
        <v>0</v>
      </c>
      <c r="D443" s="3" t="s">
        <v>822</v>
      </c>
      <c r="F443" s="28" t="e">
        <f>G348</f>
        <v>#N/A</v>
      </c>
      <c r="G443" s="28"/>
      <c r="J443" s="155"/>
      <c r="K443" s="3" t="s">
        <v>823</v>
      </c>
      <c r="L443" s="28">
        <f>L372</f>
        <v>0</v>
      </c>
      <c r="N443" s="3" t="s">
        <v>822</v>
      </c>
      <c r="P443" s="28" t="e">
        <f>O372</f>
        <v>#N/A</v>
      </c>
    </row>
    <row r="444" spans="1:16" hidden="1" x14ac:dyDescent="0.25">
      <c r="A444" s="3" t="s">
        <v>824</v>
      </c>
      <c r="B444" s="28">
        <f>B404</f>
        <v>0</v>
      </c>
      <c r="C444" s="28">
        <f>B404</f>
        <v>0</v>
      </c>
      <c r="D444" s="3" t="s">
        <v>825</v>
      </c>
      <c r="F444" s="28" t="e">
        <f>G265</f>
        <v>#N/A</v>
      </c>
      <c r="G444" s="28" t="e">
        <f>G265</f>
        <v>#N/A</v>
      </c>
      <c r="J444" s="155"/>
      <c r="K444" s="3" t="s">
        <v>824</v>
      </c>
      <c r="L444" s="28">
        <f>L404</f>
        <v>0</v>
      </c>
      <c r="N444" s="3" t="s">
        <v>825</v>
      </c>
      <c r="P444" s="28" t="e">
        <f>O401</f>
        <v>#N/A</v>
      </c>
    </row>
    <row r="445" spans="1:16" hidden="1" x14ac:dyDescent="0.25">
      <c r="A445" s="3" t="s">
        <v>403</v>
      </c>
      <c r="B445" s="28">
        <f>B443+B444</f>
        <v>0</v>
      </c>
      <c r="C445" s="28">
        <f>B443+B444</f>
        <v>0</v>
      </c>
      <c r="D445" s="3" t="s">
        <v>403</v>
      </c>
      <c r="F445" s="28" t="e">
        <f>F444+F443</f>
        <v>#N/A</v>
      </c>
      <c r="G445" s="28" t="e">
        <f>F444+F443</f>
        <v>#N/A</v>
      </c>
      <c r="J445" s="155"/>
      <c r="K445" s="3" t="s">
        <v>403</v>
      </c>
      <c r="L445" s="28">
        <f>L443+L444</f>
        <v>0</v>
      </c>
      <c r="N445" s="3" t="s">
        <v>403</v>
      </c>
      <c r="P445" s="28" t="e">
        <f>P444+P443</f>
        <v>#N/A</v>
      </c>
    </row>
    <row r="446" spans="1:16" hidden="1" x14ac:dyDescent="0.25">
      <c r="J446" s="155"/>
    </row>
    <row r="447" spans="1:16" hidden="1" x14ac:dyDescent="0.25">
      <c r="A447" s="3" t="s">
        <v>826</v>
      </c>
      <c r="J447" s="155"/>
      <c r="K447" s="3" t="s">
        <v>842</v>
      </c>
    </row>
    <row r="448" spans="1:16" hidden="1" x14ac:dyDescent="0.25">
      <c r="J448" s="155"/>
    </row>
    <row r="449" spans="1:16" hidden="1" x14ac:dyDescent="0.25">
      <c r="A449" s="142" t="s">
        <v>827</v>
      </c>
      <c r="B449" s="142"/>
      <c r="C449" s="142" t="e">
        <f>IF(B445&lt;=F445,1,0)</f>
        <v>#N/A</v>
      </c>
      <c r="J449" s="155"/>
      <c r="K449" s="154" t="s">
        <v>827</v>
      </c>
      <c r="L449" s="154"/>
      <c r="M449" s="154" t="e">
        <f>IF(L445&lt;=P445,1,0)</f>
        <v>#N/A</v>
      </c>
    </row>
    <row r="450" spans="1:16" hidden="1" x14ac:dyDescent="0.25">
      <c r="A450" s="142" t="s">
        <v>828</v>
      </c>
      <c r="B450" s="142"/>
      <c r="C450" s="142" t="e">
        <f>IF(B445&gt;F445,1,0)</f>
        <v>#N/A</v>
      </c>
      <c r="J450" s="155"/>
      <c r="K450" s="154" t="s">
        <v>828</v>
      </c>
      <c r="L450" s="154"/>
      <c r="M450" s="154" t="e">
        <f>IF(L445&gt;P445,1,0)</f>
        <v>#N/A</v>
      </c>
    </row>
    <row r="451" spans="1:16" hidden="1" x14ac:dyDescent="0.25">
      <c r="J451" s="155"/>
    </row>
    <row r="452" spans="1:16" hidden="1" x14ac:dyDescent="0.25">
      <c r="A452" s="3" t="s">
        <v>829</v>
      </c>
      <c r="J452" s="155"/>
    </row>
    <row r="453" spans="1:16" hidden="1" x14ac:dyDescent="0.25">
      <c r="J453" s="155"/>
    </row>
    <row r="454" spans="1:16" hidden="1" x14ac:dyDescent="0.25">
      <c r="A454" s="133" t="s">
        <v>830</v>
      </c>
      <c r="B454" s="26"/>
      <c r="C454" s="26"/>
      <c r="D454" s="26"/>
      <c r="E454" s="26"/>
      <c r="F454" s="26"/>
      <c r="G454" s="145" t="e">
        <f>IF(AND(E423=1,E429=1),1,0)</f>
        <v>#N/A</v>
      </c>
      <c r="J454" s="155"/>
      <c r="K454" s="3" t="s">
        <v>843</v>
      </c>
    </row>
    <row r="455" spans="1:16" hidden="1" x14ac:dyDescent="0.25">
      <c r="A455" s="19"/>
      <c r="B455" s="1"/>
      <c r="C455" s="1"/>
      <c r="D455" s="1"/>
      <c r="E455" s="1"/>
      <c r="F455" s="1"/>
      <c r="G455" s="21"/>
      <c r="J455" s="155"/>
    </row>
    <row r="456" spans="1:16" hidden="1" x14ac:dyDescent="0.25">
      <c r="A456" s="19" t="s">
        <v>822</v>
      </c>
      <c r="B456" s="1"/>
      <c r="C456" s="1"/>
      <c r="D456" s="1"/>
      <c r="E456" s="1"/>
      <c r="F456" s="139" t="e">
        <f>E372</f>
        <v>#N/A</v>
      </c>
      <c r="G456" s="21"/>
      <c r="J456" s="155"/>
      <c r="K456" s="3" t="s">
        <v>822</v>
      </c>
      <c r="P456" s="28" t="e">
        <f>O372</f>
        <v>#N/A</v>
      </c>
    </row>
    <row r="457" spans="1:16" hidden="1" x14ac:dyDescent="0.25">
      <c r="A457" s="19" t="s">
        <v>844</v>
      </c>
      <c r="B457" s="1"/>
      <c r="C457" s="1"/>
      <c r="D457" s="1"/>
      <c r="E457" s="1"/>
      <c r="F457" s="139" t="e">
        <f>B443-F456</f>
        <v>#N/A</v>
      </c>
      <c r="G457" s="21"/>
      <c r="J457" s="155"/>
      <c r="K457" s="3" t="s">
        <v>404</v>
      </c>
      <c r="P457" s="28" t="e">
        <f>L443-P443</f>
        <v>#N/A</v>
      </c>
    </row>
    <row r="458" spans="1:16" hidden="1" x14ac:dyDescent="0.25">
      <c r="A458" s="19"/>
      <c r="B458" s="1"/>
      <c r="C458" s="1"/>
      <c r="D458" s="1"/>
      <c r="E458" s="1"/>
      <c r="F458" s="1"/>
      <c r="G458" s="21"/>
      <c r="J458" s="155"/>
    </row>
    <row r="459" spans="1:16" hidden="1" x14ac:dyDescent="0.25">
      <c r="A459" s="19" t="s">
        <v>825</v>
      </c>
      <c r="B459" s="1"/>
      <c r="C459" s="1"/>
      <c r="D459" s="1"/>
      <c r="E459" s="1"/>
      <c r="F459" s="146" t="e">
        <f>I410</f>
        <v>#N/A</v>
      </c>
      <c r="G459" s="21"/>
      <c r="J459" s="155"/>
      <c r="K459" s="3" t="s">
        <v>825</v>
      </c>
      <c r="P459" s="28" t="e">
        <f>O401</f>
        <v>#N/A</v>
      </c>
    </row>
    <row r="460" spans="1:16" hidden="1" x14ac:dyDescent="0.25">
      <c r="A460" s="20" t="s">
        <v>846</v>
      </c>
      <c r="B460" s="22"/>
      <c r="C460" s="22"/>
      <c r="D460" s="22"/>
      <c r="E460" s="22"/>
      <c r="F460" s="140">
        <v>478</v>
      </c>
      <c r="G460" s="23"/>
      <c r="J460" s="155"/>
      <c r="K460" s="3" t="s">
        <v>404</v>
      </c>
      <c r="P460" s="28" t="e">
        <f>L444-P444</f>
        <v>#N/A</v>
      </c>
    </row>
    <row r="461" spans="1:16" hidden="1" x14ac:dyDescent="0.25">
      <c r="J461" s="155"/>
    </row>
    <row r="462" spans="1:16" hidden="1" x14ac:dyDescent="0.25">
      <c r="A462" s="133" t="s">
        <v>831</v>
      </c>
      <c r="B462" s="26"/>
      <c r="C462" s="26"/>
      <c r="D462" s="26"/>
      <c r="E462" s="26"/>
      <c r="F462" s="26"/>
      <c r="G462" s="145" t="e">
        <f>IF(AND(E425=1,E432=1),1,0)</f>
        <v>#N/A</v>
      </c>
      <c r="J462" s="155"/>
      <c r="K462" s="3" t="s">
        <v>847</v>
      </c>
      <c r="P462" s="28" t="e">
        <f xml:space="preserve"> L445-P445</f>
        <v>#N/A</v>
      </c>
    </row>
    <row r="463" spans="1:16" hidden="1" x14ac:dyDescent="0.25">
      <c r="A463" s="19"/>
      <c r="B463" s="1"/>
      <c r="C463" s="1"/>
      <c r="D463" s="1"/>
      <c r="E463" s="1"/>
      <c r="F463" s="1"/>
      <c r="G463" s="21"/>
      <c r="J463" s="155"/>
    </row>
    <row r="464" spans="1:16" hidden="1" x14ac:dyDescent="0.25">
      <c r="A464" s="19" t="s">
        <v>822</v>
      </c>
      <c r="B464" s="1"/>
      <c r="C464" s="1"/>
      <c r="D464" s="1"/>
      <c r="E464" s="1"/>
      <c r="F464" s="139" t="e">
        <f>E372</f>
        <v>#N/A</v>
      </c>
      <c r="G464" s="21"/>
      <c r="J464" s="155"/>
    </row>
    <row r="465" spans="1:10" hidden="1" x14ac:dyDescent="0.25">
      <c r="A465" s="19" t="s">
        <v>832</v>
      </c>
      <c r="B465" s="1"/>
      <c r="C465" s="1"/>
      <c r="D465" s="1"/>
      <c r="E465" s="1"/>
      <c r="F465" s="135" t="e">
        <f>I387</f>
        <v>#N/A</v>
      </c>
      <c r="G465" s="21"/>
      <c r="J465" s="155"/>
    </row>
    <row r="466" spans="1:10" hidden="1" x14ac:dyDescent="0.25">
      <c r="A466" s="148" t="s">
        <v>835</v>
      </c>
      <c r="B466" s="149"/>
      <c r="C466" s="149"/>
      <c r="D466" s="149"/>
      <c r="E466" s="149"/>
      <c r="F466" s="150" t="e">
        <f>I383</f>
        <v>#N/A</v>
      </c>
      <c r="G466" s="151"/>
      <c r="J466" s="155"/>
    </row>
    <row r="467" spans="1:10" hidden="1" x14ac:dyDescent="0.25">
      <c r="A467" s="19" t="s">
        <v>844</v>
      </c>
      <c r="B467" s="1"/>
      <c r="C467" s="1"/>
      <c r="D467" s="1"/>
      <c r="E467" s="1"/>
      <c r="F467" s="135" t="e">
        <f>B443-F466</f>
        <v>#N/A</v>
      </c>
      <c r="G467" s="21"/>
      <c r="J467" s="155"/>
    </row>
    <row r="468" spans="1:10" hidden="1" x14ac:dyDescent="0.25">
      <c r="A468" s="19"/>
      <c r="B468" s="1"/>
      <c r="C468" s="1"/>
      <c r="D468" s="1"/>
      <c r="E468" s="1"/>
      <c r="F468" s="146"/>
      <c r="G468" s="21"/>
      <c r="J468" s="155"/>
    </row>
    <row r="469" spans="1:10" hidden="1" x14ac:dyDescent="0.25">
      <c r="A469" s="19" t="s">
        <v>825</v>
      </c>
      <c r="B469" s="1"/>
      <c r="C469" s="1"/>
      <c r="D469" s="1"/>
      <c r="E469" s="1"/>
      <c r="F469" s="135" t="e">
        <f>G401</f>
        <v>#N/A</v>
      </c>
      <c r="G469" s="21"/>
      <c r="J469" s="155"/>
    </row>
    <row r="470" spans="1:10" hidden="1" x14ac:dyDescent="0.25">
      <c r="A470" s="19" t="s">
        <v>833</v>
      </c>
      <c r="B470" s="1"/>
      <c r="C470" s="1"/>
      <c r="D470" s="1"/>
      <c r="E470" s="1"/>
      <c r="F470" s="135" t="e">
        <f>G402</f>
        <v>#N/A</v>
      </c>
      <c r="G470" s="21"/>
      <c r="J470" s="155"/>
    </row>
    <row r="471" spans="1:10" hidden="1" x14ac:dyDescent="0.25">
      <c r="A471" s="148" t="s">
        <v>834</v>
      </c>
      <c r="B471" s="149"/>
      <c r="C471" s="149"/>
      <c r="D471" s="149"/>
      <c r="E471" s="149"/>
      <c r="F471" s="152" t="e">
        <f>I416</f>
        <v>#N/A</v>
      </c>
      <c r="G471" s="151"/>
      <c r="J471" s="155"/>
    </row>
    <row r="472" spans="1:10" hidden="1" x14ac:dyDescent="0.25">
      <c r="A472" s="20" t="s">
        <v>845</v>
      </c>
      <c r="B472" s="22"/>
      <c r="C472" s="22"/>
      <c r="D472" s="22"/>
      <c r="E472" s="22"/>
      <c r="F472" s="140" t="e">
        <f>B444-F471</f>
        <v>#N/A</v>
      </c>
      <c r="G472" s="23"/>
      <c r="J472" s="155"/>
    </row>
    <row r="473" spans="1:10" hidden="1" x14ac:dyDescent="0.25">
      <c r="J473" s="155"/>
    </row>
    <row r="474" spans="1:10" hidden="1" x14ac:dyDescent="0.25">
      <c r="A474" s="133" t="s">
        <v>836</v>
      </c>
      <c r="B474" s="134"/>
      <c r="C474" s="134"/>
      <c r="D474" s="134"/>
      <c r="E474" s="134"/>
      <c r="F474" s="134"/>
      <c r="G474" s="145" t="e">
        <f>IF(AND(E426=1,E431=1),1,0)</f>
        <v>#N/A</v>
      </c>
      <c r="J474" s="155"/>
    </row>
    <row r="475" spans="1:10" hidden="1" x14ac:dyDescent="0.25">
      <c r="A475" s="19"/>
      <c r="B475" s="1"/>
      <c r="C475" s="1"/>
      <c r="D475" s="1"/>
      <c r="E475" s="1"/>
      <c r="F475" s="1"/>
      <c r="G475" s="21"/>
      <c r="J475" s="155"/>
    </row>
    <row r="476" spans="1:10" hidden="1" x14ac:dyDescent="0.25">
      <c r="A476" s="19" t="s">
        <v>822</v>
      </c>
      <c r="B476" s="1"/>
      <c r="C476" s="1"/>
      <c r="D476" s="1"/>
      <c r="E476" s="1"/>
      <c r="F476" s="139" t="e">
        <f>E372</f>
        <v>#N/A</v>
      </c>
      <c r="G476" s="21"/>
      <c r="J476" s="155"/>
    </row>
    <row r="477" spans="1:10" hidden="1" x14ac:dyDescent="0.25">
      <c r="A477" s="19" t="s">
        <v>419</v>
      </c>
      <c r="B477" s="1"/>
      <c r="C477" s="1"/>
      <c r="D477" s="1"/>
      <c r="E477" s="1"/>
      <c r="F477" s="135" t="e">
        <f>I395</f>
        <v>#N/A</v>
      </c>
      <c r="G477" s="21"/>
      <c r="J477" s="155"/>
    </row>
    <row r="478" spans="1:10" hidden="1" x14ac:dyDescent="0.25">
      <c r="A478" s="148" t="s">
        <v>835</v>
      </c>
      <c r="B478" s="149"/>
      <c r="C478" s="149"/>
      <c r="D478" s="149"/>
      <c r="E478" s="149"/>
      <c r="F478" s="150" t="e">
        <f>I393</f>
        <v>#N/A</v>
      </c>
      <c r="G478" s="151"/>
      <c r="J478" s="155"/>
    </row>
    <row r="479" spans="1:10" hidden="1" x14ac:dyDescent="0.25">
      <c r="A479" s="19" t="s">
        <v>844</v>
      </c>
      <c r="B479" s="1"/>
      <c r="C479" s="1"/>
      <c r="D479" s="1"/>
      <c r="E479" s="1"/>
      <c r="F479" s="135" t="e">
        <f>B443-F478</f>
        <v>#N/A</v>
      </c>
      <c r="G479" s="21"/>
      <c r="J479" s="155"/>
    </row>
    <row r="480" spans="1:10" hidden="1" x14ac:dyDescent="0.25">
      <c r="A480" s="19"/>
      <c r="B480" s="1"/>
      <c r="C480" s="1"/>
      <c r="D480" s="1"/>
      <c r="E480" s="1"/>
      <c r="F480" s="1"/>
      <c r="G480" s="21"/>
      <c r="J480" s="155"/>
    </row>
    <row r="481" spans="1:10" hidden="1" x14ac:dyDescent="0.25">
      <c r="A481" s="19" t="s">
        <v>825</v>
      </c>
      <c r="B481" s="1"/>
      <c r="C481" s="1"/>
      <c r="D481" s="1"/>
      <c r="E481" s="1"/>
      <c r="F481" s="139" t="e">
        <f>G401</f>
        <v>#N/A</v>
      </c>
      <c r="G481" s="21"/>
      <c r="J481" s="155"/>
    </row>
    <row r="482" spans="1:10" hidden="1" x14ac:dyDescent="0.25">
      <c r="A482" s="19" t="s">
        <v>833</v>
      </c>
      <c r="B482" s="1"/>
      <c r="C482" s="1"/>
      <c r="D482" s="1"/>
      <c r="E482" s="1"/>
      <c r="F482" s="139" t="e">
        <f>G402</f>
        <v>#N/A</v>
      </c>
      <c r="G482" s="21"/>
      <c r="J482" s="155"/>
    </row>
    <row r="483" spans="1:10" hidden="1" x14ac:dyDescent="0.25">
      <c r="A483" s="148" t="s">
        <v>834</v>
      </c>
      <c r="B483" s="149"/>
      <c r="C483" s="149"/>
      <c r="D483" s="149"/>
      <c r="E483" s="149"/>
      <c r="F483" s="153" t="e">
        <f>G404</f>
        <v>#N/A</v>
      </c>
      <c r="G483" s="151"/>
      <c r="J483" s="155"/>
    </row>
    <row r="484" spans="1:10" hidden="1" x14ac:dyDescent="0.25">
      <c r="A484" s="20" t="s">
        <v>846</v>
      </c>
      <c r="B484" s="22"/>
      <c r="C484" s="22"/>
      <c r="D484" s="22"/>
      <c r="E484" s="22"/>
      <c r="F484" s="147" t="e">
        <f>B444-F483</f>
        <v>#N/A</v>
      </c>
      <c r="G484" s="23"/>
      <c r="J484" s="155"/>
    </row>
    <row r="485" spans="1:10" hidden="1" x14ac:dyDescent="0.25">
      <c r="J485" s="155"/>
    </row>
    <row r="486" spans="1:10" hidden="1" x14ac:dyDescent="0.25">
      <c r="A486" s="133" t="s">
        <v>837</v>
      </c>
      <c r="B486" s="134"/>
      <c r="C486" s="134"/>
      <c r="D486" s="134"/>
      <c r="E486" s="134"/>
      <c r="F486" s="134"/>
      <c r="G486" s="145" t="e">
        <f>IF(AND(E426=1,E432=1),1,0)</f>
        <v>#N/A</v>
      </c>
      <c r="J486" s="155"/>
    </row>
    <row r="487" spans="1:10" hidden="1" x14ac:dyDescent="0.25">
      <c r="A487" s="19"/>
      <c r="B487" s="1"/>
      <c r="C487" s="1"/>
      <c r="D487" s="1"/>
      <c r="E487" s="1"/>
      <c r="F487" s="1"/>
      <c r="G487" s="21"/>
      <c r="J487" s="155"/>
    </row>
    <row r="488" spans="1:10" hidden="1" x14ac:dyDescent="0.25">
      <c r="A488" s="19" t="s">
        <v>822</v>
      </c>
      <c r="B488" s="1"/>
      <c r="C488" s="1"/>
      <c r="D488" s="1"/>
      <c r="E488" s="1"/>
      <c r="F488" s="139" t="e">
        <f>E372</f>
        <v>#N/A</v>
      </c>
      <c r="G488" s="21"/>
      <c r="J488" s="155"/>
    </row>
    <row r="489" spans="1:10" hidden="1" x14ac:dyDescent="0.25">
      <c r="A489" s="19" t="s">
        <v>419</v>
      </c>
      <c r="B489" s="1"/>
      <c r="C489" s="1"/>
      <c r="D489" s="1"/>
      <c r="E489" s="1"/>
      <c r="F489" s="139" t="e">
        <f>I395</f>
        <v>#N/A</v>
      </c>
      <c r="G489" s="21"/>
      <c r="J489" s="155"/>
    </row>
    <row r="490" spans="1:10" hidden="1" x14ac:dyDescent="0.25">
      <c r="A490" s="148" t="s">
        <v>835</v>
      </c>
      <c r="B490" s="149"/>
      <c r="C490" s="149"/>
      <c r="D490" s="149"/>
      <c r="E490" s="149"/>
      <c r="F490" s="153" t="e">
        <f>I393</f>
        <v>#N/A</v>
      </c>
      <c r="G490" s="151"/>
      <c r="J490" s="155"/>
    </row>
    <row r="491" spans="1:10" hidden="1" x14ac:dyDescent="0.25">
      <c r="A491" s="19" t="s">
        <v>844</v>
      </c>
      <c r="B491" s="1"/>
      <c r="C491" s="1"/>
      <c r="D491" s="1"/>
      <c r="E491" s="1"/>
      <c r="F491" s="139" t="e">
        <f>B443-F490</f>
        <v>#N/A</v>
      </c>
      <c r="G491" s="21"/>
      <c r="J491" s="155"/>
    </row>
    <row r="492" spans="1:10" hidden="1" x14ac:dyDescent="0.25">
      <c r="A492" s="19"/>
      <c r="B492" s="1"/>
      <c r="C492" s="1"/>
      <c r="D492" s="1"/>
      <c r="E492" s="1"/>
      <c r="F492" s="1"/>
      <c r="G492" s="21"/>
      <c r="J492" s="155"/>
    </row>
    <row r="493" spans="1:10" hidden="1" x14ac:dyDescent="0.25">
      <c r="A493" s="19" t="s">
        <v>825</v>
      </c>
      <c r="B493" s="1"/>
      <c r="C493" s="1"/>
      <c r="D493" s="1"/>
      <c r="E493" s="1"/>
      <c r="F493" s="139" t="e">
        <f>G401</f>
        <v>#N/A</v>
      </c>
      <c r="G493" s="21"/>
      <c r="J493" s="155"/>
    </row>
    <row r="494" spans="1:10" hidden="1" x14ac:dyDescent="0.25">
      <c r="A494" s="19" t="s">
        <v>833</v>
      </c>
      <c r="B494" s="1"/>
      <c r="C494" s="1"/>
      <c r="D494" s="1"/>
      <c r="E494" s="1"/>
      <c r="F494" s="139" t="e">
        <f>G402</f>
        <v>#N/A</v>
      </c>
      <c r="G494" s="21"/>
      <c r="J494" s="155"/>
    </row>
    <row r="495" spans="1:10" hidden="1" x14ac:dyDescent="0.25">
      <c r="A495" s="148" t="s">
        <v>834</v>
      </c>
      <c r="B495" s="149"/>
      <c r="C495" s="149"/>
      <c r="D495" s="149"/>
      <c r="E495" s="149"/>
      <c r="F495" s="153" t="e">
        <f>G404</f>
        <v>#N/A</v>
      </c>
      <c r="G495" s="151"/>
      <c r="J495" s="155"/>
    </row>
    <row r="496" spans="1:10" hidden="1" x14ac:dyDescent="0.25">
      <c r="A496" s="20" t="s">
        <v>846</v>
      </c>
      <c r="B496" s="22"/>
      <c r="C496" s="22"/>
      <c r="D496" s="22"/>
      <c r="E496" s="22"/>
      <c r="F496" s="147" t="e">
        <f>B444-F495</f>
        <v>#N/A</v>
      </c>
      <c r="G496" s="23"/>
      <c r="J496" s="155"/>
    </row>
    <row r="497" spans="1:20" hidden="1" x14ac:dyDescent="0.25"/>
    <row r="498" spans="1:20" hidden="1" x14ac:dyDescent="0.25"/>
    <row r="499" spans="1:20" hidden="1" x14ac:dyDescent="0.25"/>
    <row r="500" spans="1:20" ht="18.75" hidden="1" x14ac:dyDescent="0.3">
      <c r="A500" s="37" t="s">
        <v>861</v>
      </c>
      <c r="B500" s="33"/>
      <c r="C500" s="33"/>
      <c r="D500" s="33"/>
      <c r="E500" s="33"/>
      <c r="F500" s="33"/>
      <c r="G500" s="33"/>
      <c r="H500" s="33"/>
      <c r="I500" s="33"/>
      <c r="J500" s="33"/>
      <c r="K500" s="398" t="s">
        <v>1105</v>
      </c>
      <c r="L500" s="33"/>
      <c r="M500" s="33"/>
      <c r="N500" s="33"/>
      <c r="O500" s="33"/>
      <c r="P500" s="33"/>
      <c r="Q500" s="33"/>
      <c r="R500" s="33"/>
      <c r="S500" s="33"/>
      <c r="T500" s="33"/>
    </row>
    <row r="501" spans="1:20" hidden="1" x14ac:dyDescent="0.25">
      <c r="K501" s="19"/>
    </row>
    <row r="502" spans="1:20" ht="18.75" hidden="1" x14ac:dyDescent="0.3">
      <c r="A502" s="37" t="s">
        <v>886</v>
      </c>
      <c r="B502" s="33"/>
      <c r="C502" s="33"/>
      <c r="D502" s="33"/>
      <c r="E502" s="33"/>
      <c r="F502" s="33"/>
      <c r="G502" s="33"/>
      <c r="H502" s="33"/>
      <c r="I502" s="33"/>
      <c r="J502" s="33"/>
      <c r="K502" s="397"/>
      <c r="L502" s="33"/>
      <c r="M502" s="33"/>
      <c r="N502" s="33"/>
      <c r="O502" s="33"/>
      <c r="P502" s="33"/>
      <c r="Q502" s="33"/>
      <c r="R502" s="33"/>
      <c r="S502" s="33"/>
      <c r="T502" s="33"/>
    </row>
    <row r="503" spans="1:20" hidden="1" x14ac:dyDescent="0.25">
      <c r="K503" s="19"/>
    </row>
    <row r="504" spans="1:20" hidden="1" x14ac:dyDescent="0.25">
      <c r="A504" s="3" t="s">
        <v>859</v>
      </c>
      <c r="E504" s="28">
        <f>H89</f>
        <v>0</v>
      </c>
      <c r="G504" s="3" t="s">
        <v>875</v>
      </c>
      <c r="K504" s="19" t="s">
        <v>1109</v>
      </c>
      <c r="P504" s="50" t="e">
        <f>Q263</f>
        <v>#N/A</v>
      </c>
      <c r="T504" s="28"/>
    </row>
    <row r="505" spans="1:20" hidden="1" x14ac:dyDescent="0.25">
      <c r="A505" s="3" t="s">
        <v>862</v>
      </c>
      <c r="E505" s="28">
        <f>H91</f>
        <v>0</v>
      </c>
      <c r="K505" s="19"/>
    </row>
    <row r="506" spans="1:20" hidden="1" x14ac:dyDescent="0.25">
      <c r="G506" s="3" t="s">
        <v>872</v>
      </c>
      <c r="K506" s="19" t="s">
        <v>1110</v>
      </c>
      <c r="P506" s="3" t="e">
        <f>E515</f>
        <v>#N/A</v>
      </c>
    </row>
    <row r="507" spans="1:20" hidden="1" x14ac:dyDescent="0.25">
      <c r="A507" s="3" t="s">
        <v>867</v>
      </c>
      <c r="E507" s="28">
        <f>H85</f>
        <v>0</v>
      </c>
      <c r="G507" s="3" t="s">
        <v>884</v>
      </c>
      <c r="K507" s="19"/>
    </row>
    <row r="508" spans="1:20" hidden="1" x14ac:dyDescent="0.25">
      <c r="A508" s="3" t="s">
        <v>936</v>
      </c>
      <c r="E508" s="28">
        <f>C163</f>
        <v>0</v>
      </c>
      <c r="G508" s="3" t="s">
        <v>885</v>
      </c>
      <c r="K508" s="19" t="s">
        <v>1111</v>
      </c>
      <c r="P508" s="3" t="e">
        <f>IF(P506&gt;=P504,1,0)</f>
        <v>#N/A</v>
      </c>
    </row>
    <row r="509" spans="1:20" hidden="1" x14ac:dyDescent="0.25">
      <c r="A509" s="179" t="s">
        <v>937</v>
      </c>
      <c r="B509" s="179"/>
      <c r="C509" s="179"/>
      <c r="D509" s="179"/>
      <c r="E509" s="180">
        <f>E508+E507</f>
        <v>0</v>
      </c>
      <c r="K509" s="19"/>
    </row>
    <row r="510" spans="1:20" hidden="1" x14ac:dyDescent="0.25">
      <c r="K510" s="19" t="s">
        <v>1113</v>
      </c>
      <c r="P510" s="3" t="e">
        <f>IF(Daten!P508=1,Daten!P506,IF(Daten!P508=0,Daten!P504,""))</f>
        <v>#N/A</v>
      </c>
    </row>
    <row r="511" spans="1:20" hidden="1" x14ac:dyDescent="0.25">
      <c r="A511" s="3" t="s">
        <v>860</v>
      </c>
      <c r="E511" s="28" t="e">
        <f>IF(AND(D362=1,E378=1),I377,IF(AND(D362=1,E383=1),I383,IF(AND(D362=1,E393=1),I393,IF(AND(D363=1,O378=1),S377,IF(AND(D363=1,O393=1),S393,"")))))</f>
        <v>#N/A</v>
      </c>
      <c r="G511" s="3" t="s">
        <v>881</v>
      </c>
      <c r="K511" s="19"/>
    </row>
    <row r="512" spans="1:20" hidden="1" x14ac:dyDescent="0.25">
      <c r="A512" s="3" t="s">
        <v>870</v>
      </c>
      <c r="E512" s="28" t="e">
        <f>IF(D362=1,E372,IF(D363=1,O372))</f>
        <v>#N/A</v>
      </c>
      <c r="K512" s="19" t="s">
        <v>1114</v>
      </c>
      <c r="P512" s="3" t="e">
        <f>P510*D86</f>
        <v>#N/A</v>
      </c>
    </row>
    <row r="513" spans="1:25" hidden="1" x14ac:dyDescent="0.25">
      <c r="A513" s="3" t="s">
        <v>419</v>
      </c>
      <c r="E513" s="28" t="e">
        <f>IF(E378=1,I379,IF(E383=1,I387,IF(E393=1,I395,IF(O378=1,0,IF(O393=1,0)))))</f>
        <v>#N/A</v>
      </c>
      <c r="G513" s="3" t="s">
        <v>874</v>
      </c>
      <c r="K513" s="19"/>
    </row>
    <row r="514" spans="1:25" hidden="1" x14ac:dyDescent="0.25">
      <c r="G514" s="3" t="s">
        <v>876</v>
      </c>
      <c r="K514" s="19" t="s">
        <v>1115</v>
      </c>
      <c r="P514" s="3" t="e">
        <f>IF(E509&gt;P510,1,IF(E509&lt;=P510,0,""))</f>
        <v>#N/A</v>
      </c>
    </row>
    <row r="515" spans="1:25" hidden="1" x14ac:dyDescent="0.25">
      <c r="A515" s="3" t="s">
        <v>986</v>
      </c>
      <c r="E515" s="3" t="e">
        <f>IF(AND(D362=1,E408=1),I413,IF(AND(D362=1,E410=1),I410,IF(AND(D362=1,E414=1),I413,IF(AND(D362=1,E416=1),I416,IF(AND(D363=1,O408=1),S407,IF(AND(D363=1,O416=1),S416,""))))))</f>
        <v>#N/A</v>
      </c>
      <c r="G515" s="3" t="s">
        <v>877</v>
      </c>
      <c r="H515" s="3">
        <f>C142</f>
        <v>0</v>
      </c>
      <c r="K515" s="19"/>
    </row>
    <row r="516" spans="1:25" hidden="1" x14ac:dyDescent="0.25">
      <c r="A516" s="3" t="s">
        <v>987</v>
      </c>
      <c r="E516" s="28" t="e">
        <f>E515*D86</f>
        <v>#N/A</v>
      </c>
      <c r="K516" s="19"/>
    </row>
    <row r="517" spans="1:25" hidden="1" x14ac:dyDescent="0.25">
      <c r="A517" s="3" t="s">
        <v>871</v>
      </c>
      <c r="E517" s="3" t="e">
        <f>IF(D362=1,G401,IF(D363=1,O401))</f>
        <v>#N/A</v>
      </c>
      <c r="K517" s="19"/>
    </row>
    <row r="518" spans="1:25" hidden="1" x14ac:dyDescent="0.25">
      <c r="A518" s="3" t="s">
        <v>420</v>
      </c>
      <c r="E518" s="28">
        <f>IF(D362=1,G403,IF(D363=1,0))</f>
        <v>0</v>
      </c>
      <c r="G518" s="3" t="s">
        <v>942</v>
      </c>
      <c r="K518" s="19"/>
    </row>
    <row r="519" spans="1:25" hidden="1" x14ac:dyDescent="0.25">
      <c r="G519" s="3" t="s">
        <v>941</v>
      </c>
      <c r="K519" s="19"/>
    </row>
    <row r="520" spans="1:25" hidden="1" x14ac:dyDescent="0.25">
      <c r="A520" s="3" t="s">
        <v>882</v>
      </c>
      <c r="E520" s="28">
        <f>E504+E509</f>
        <v>0</v>
      </c>
      <c r="K520" s="19"/>
    </row>
    <row r="521" spans="1:25" hidden="1" x14ac:dyDescent="0.25">
      <c r="A521" s="3" t="s">
        <v>883</v>
      </c>
      <c r="E521" s="28" t="e">
        <f>F445</f>
        <v>#N/A</v>
      </c>
      <c r="K521" s="19"/>
    </row>
    <row r="522" spans="1:25" hidden="1" x14ac:dyDescent="0.25">
      <c r="K522" s="19"/>
      <c r="R522" s="407"/>
      <c r="S522" s="407"/>
      <c r="T522" s="407"/>
      <c r="U522" s="407"/>
      <c r="V522" s="407"/>
      <c r="W522" s="407"/>
      <c r="X522" s="407"/>
      <c r="Y522" s="407"/>
    </row>
    <row r="523" spans="1:25" hidden="1" x14ac:dyDescent="0.25">
      <c r="A523" s="3" t="s">
        <v>890</v>
      </c>
      <c r="E523" s="3" t="e">
        <f>IF(E504&gt;E511,1,IF(E504&lt;=E511,0,FEHLER))</f>
        <v>#N/A</v>
      </c>
      <c r="K523" s="19"/>
      <c r="O523" s="403"/>
      <c r="R523" s="407"/>
      <c r="S523" s="407"/>
      <c r="T523" s="407"/>
      <c r="U523" s="407"/>
      <c r="V523" s="407"/>
      <c r="W523" s="407"/>
      <c r="X523" s="407"/>
      <c r="Y523" s="407"/>
    </row>
    <row r="524" spans="1:25" hidden="1" x14ac:dyDescent="0.25">
      <c r="A524" s="3" t="s">
        <v>873</v>
      </c>
      <c r="E524" s="3" t="e">
        <f>IF(E509&gt;E515,1,IF(E509&lt;=E515,0,FEHLER))</f>
        <v>#N/A</v>
      </c>
      <c r="K524" s="19"/>
      <c r="O524" s="403"/>
      <c r="R524" s="407"/>
      <c r="S524" s="407"/>
      <c r="T524" s="407"/>
      <c r="U524" s="407"/>
      <c r="V524" s="407"/>
      <c r="W524" s="407"/>
      <c r="X524" s="407"/>
      <c r="Y524" s="407"/>
    </row>
    <row r="525" spans="1:25" hidden="1" x14ac:dyDescent="0.25">
      <c r="K525" s="19"/>
      <c r="R525" s="407"/>
      <c r="S525" s="407"/>
      <c r="T525" s="407"/>
      <c r="U525" s="407"/>
      <c r="V525" s="407"/>
      <c r="W525" s="407"/>
      <c r="X525" s="407"/>
      <c r="Y525" s="407"/>
    </row>
    <row r="526" spans="1:25" ht="18.75" hidden="1" x14ac:dyDescent="0.3">
      <c r="A526" s="37" t="s">
        <v>887</v>
      </c>
      <c r="B526" s="33"/>
      <c r="C526" s="33"/>
      <c r="D526" s="33"/>
      <c r="E526" s="33"/>
      <c r="F526" s="33"/>
      <c r="G526" s="33"/>
      <c r="H526" s="33"/>
      <c r="I526" s="33"/>
      <c r="J526" s="33"/>
      <c r="K526" s="397"/>
      <c r="L526" s="33"/>
      <c r="M526" s="33"/>
      <c r="N526" s="33"/>
      <c r="O526" s="33"/>
      <c r="P526" s="33"/>
      <c r="Q526" s="33"/>
      <c r="R526" s="33"/>
      <c r="S526" s="33"/>
      <c r="T526" s="33"/>
    </row>
    <row r="527" spans="1:25" hidden="1" x14ac:dyDescent="0.25"/>
    <row r="528" spans="1:25" hidden="1" x14ac:dyDescent="0.25">
      <c r="A528" s="3" t="s">
        <v>404</v>
      </c>
      <c r="E528" s="3" t="e">
        <f>IF((E520-E521)&gt;0,1,0)</f>
        <v>#N/A</v>
      </c>
      <c r="G528" s="3" t="s">
        <v>903</v>
      </c>
    </row>
    <row r="529" spans="1:20" hidden="1" x14ac:dyDescent="0.25">
      <c r="G529" s="3" t="s">
        <v>904</v>
      </c>
    </row>
    <row r="530" spans="1:20" hidden="1" x14ac:dyDescent="0.25">
      <c r="A530" s="3" t="s">
        <v>891</v>
      </c>
      <c r="E530" s="28" t="e">
        <f>(E520-E521)*-1</f>
        <v>#N/A</v>
      </c>
    </row>
    <row r="531" spans="1:20" hidden="1" x14ac:dyDescent="0.25"/>
    <row r="532" spans="1:20" hidden="1" x14ac:dyDescent="0.25"/>
    <row r="533" spans="1:20" s="578" customFormat="1" ht="18.75" hidden="1" x14ac:dyDescent="0.3">
      <c r="A533" s="576" t="s">
        <v>947</v>
      </c>
      <c r="B533" s="577"/>
      <c r="C533" s="577"/>
      <c r="D533" s="577"/>
      <c r="E533" s="577"/>
      <c r="F533" s="577"/>
      <c r="G533" s="577"/>
      <c r="H533" s="577"/>
      <c r="I533" s="577"/>
      <c r="J533" s="577"/>
      <c r="K533" s="577"/>
      <c r="L533" s="577"/>
      <c r="M533" s="577"/>
      <c r="N533" s="577"/>
      <c r="O533" s="577"/>
      <c r="P533" s="577"/>
      <c r="Q533" s="577"/>
      <c r="R533" s="577"/>
      <c r="S533" s="577"/>
      <c r="T533" s="577"/>
    </row>
    <row r="534" spans="1:20" s="578" customFormat="1" hidden="1" x14ac:dyDescent="0.25"/>
    <row r="535" spans="1:20" s="578" customFormat="1" hidden="1" x14ac:dyDescent="0.25">
      <c r="A535" s="578" t="s">
        <v>1148</v>
      </c>
      <c r="G535" s="578" t="s">
        <v>948</v>
      </c>
    </row>
    <row r="536" spans="1:20" s="578" customFormat="1" hidden="1" x14ac:dyDescent="0.25">
      <c r="A536" s="578" t="s">
        <v>952</v>
      </c>
      <c r="G536" s="578" t="s">
        <v>949</v>
      </c>
    </row>
    <row r="537" spans="1:20" s="578" customFormat="1" hidden="1" x14ac:dyDescent="0.25">
      <c r="A537" s="578" t="s">
        <v>966</v>
      </c>
      <c r="G537" s="578" t="s">
        <v>950</v>
      </c>
    </row>
    <row r="538" spans="1:20" s="578" customFormat="1" hidden="1" x14ac:dyDescent="0.25">
      <c r="G538" s="578" t="s">
        <v>951</v>
      </c>
    </row>
    <row r="539" spans="1:20" s="578" customFormat="1" hidden="1" x14ac:dyDescent="0.25">
      <c r="A539" s="578" t="s">
        <v>1148</v>
      </c>
    </row>
    <row r="540" spans="1:20" s="578" customFormat="1" hidden="1" x14ac:dyDescent="0.25">
      <c r="A540" s="578" t="s">
        <v>953</v>
      </c>
      <c r="G540" s="578" t="s">
        <v>969</v>
      </c>
    </row>
    <row r="541" spans="1:20" s="578" customFormat="1" hidden="1" x14ac:dyDescent="0.25">
      <c r="A541" s="578" t="s">
        <v>954</v>
      </c>
      <c r="G541" s="578" t="s">
        <v>970</v>
      </c>
    </row>
    <row r="542" spans="1:20" s="578" customFormat="1" hidden="1" x14ac:dyDescent="0.25"/>
    <row r="543" spans="1:20" s="578" customFormat="1" hidden="1" x14ac:dyDescent="0.25">
      <c r="A543" s="578" t="s">
        <v>955</v>
      </c>
      <c r="B543" s="578">
        <f>IF(D91&gt;0,1,0)</f>
        <v>0</v>
      </c>
      <c r="G543" s="579" t="s">
        <v>1012</v>
      </c>
      <c r="L543" s="580"/>
    </row>
    <row r="544" spans="1:20" s="578" customFormat="1" hidden="1" x14ac:dyDescent="0.25">
      <c r="A544" s="578" t="s">
        <v>910</v>
      </c>
      <c r="B544" s="578">
        <f>IF(D85&gt;1,1,0)</f>
        <v>0</v>
      </c>
      <c r="G544" s="578">
        <f>K79</f>
        <v>0</v>
      </c>
    </row>
    <row r="545" spans="1:20" s="578" customFormat="1" hidden="1" x14ac:dyDescent="0.25">
      <c r="A545" s="578" t="s">
        <v>956</v>
      </c>
      <c r="B545" s="578">
        <f>IF(C161&gt;0,1,0)</f>
        <v>0</v>
      </c>
      <c r="G545" s="578" t="s">
        <v>1013</v>
      </c>
    </row>
    <row r="546" spans="1:20" s="578" customFormat="1" hidden="1" x14ac:dyDescent="0.25"/>
    <row r="547" spans="1:20" s="578" customFormat="1" ht="18.75" hidden="1" x14ac:dyDescent="0.3">
      <c r="A547" s="581" t="s">
        <v>977</v>
      </c>
      <c r="B547" s="582"/>
      <c r="C547" s="582"/>
      <c r="D547" s="582"/>
      <c r="E547" s="582"/>
      <c r="F547" s="582"/>
      <c r="G547" s="582"/>
      <c r="H547" s="582"/>
      <c r="I547" s="582"/>
      <c r="J547" s="582"/>
      <c r="K547" s="582"/>
      <c r="L547" s="582"/>
      <c r="M547" s="582"/>
      <c r="N547" s="582"/>
      <c r="O547" s="582"/>
      <c r="P547" s="582"/>
      <c r="Q547" s="582"/>
      <c r="R547" s="582"/>
      <c r="S547" s="582"/>
      <c r="T547" s="582"/>
    </row>
    <row r="548" spans="1:20" s="578" customFormat="1" hidden="1" x14ac:dyDescent="0.25"/>
    <row r="549" spans="1:20" s="578" customFormat="1" hidden="1" x14ac:dyDescent="0.25">
      <c r="A549" s="583" t="s">
        <v>979</v>
      </c>
      <c r="B549" s="583"/>
      <c r="C549" s="583"/>
      <c r="D549" s="583"/>
      <c r="E549" s="583"/>
      <c r="F549" s="583"/>
      <c r="G549" s="583"/>
      <c r="H549" s="583"/>
      <c r="I549" s="583"/>
      <c r="J549" s="583"/>
      <c r="K549" s="583"/>
      <c r="L549" s="583"/>
      <c r="M549" s="583"/>
      <c r="N549" s="583"/>
      <c r="O549" s="583"/>
    </row>
    <row r="550" spans="1:20" s="578" customFormat="1" hidden="1" x14ac:dyDescent="0.25"/>
    <row r="551" spans="1:20" s="578" customFormat="1" hidden="1" x14ac:dyDescent="0.25">
      <c r="A551" s="578" t="s">
        <v>976</v>
      </c>
    </row>
    <row r="552" spans="1:20" s="578" customFormat="1" hidden="1" x14ac:dyDescent="0.25"/>
    <row r="553" spans="1:20" s="578" customFormat="1" hidden="1" x14ac:dyDescent="0.25">
      <c r="A553" s="578" t="s">
        <v>972</v>
      </c>
      <c r="C553" s="579" t="e">
        <f>IF(E528=0,D93,IF(AND(D576=G576,D578=G578),D93,0))</f>
        <v>#N/A</v>
      </c>
    </row>
    <row r="554" spans="1:20" s="578" customFormat="1" hidden="1" x14ac:dyDescent="0.25">
      <c r="A554" s="578" t="s">
        <v>973</v>
      </c>
      <c r="C554" s="579" t="e">
        <f>IF(E528=0,D91,IF(AND(D576=G576,D578=G578),D91,0))</f>
        <v>#N/A</v>
      </c>
    </row>
    <row r="555" spans="1:20" s="578" customFormat="1" hidden="1" x14ac:dyDescent="0.25">
      <c r="A555" s="578" t="s">
        <v>974</v>
      </c>
      <c r="C555" s="579" t="e">
        <f>IF(E528=0,D85,IF(AND(D585=G585,D587=G587),D85,0))</f>
        <v>#N/A</v>
      </c>
    </row>
    <row r="556" spans="1:20" s="578" customFormat="1" hidden="1" x14ac:dyDescent="0.25">
      <c r="A556" s="578" t="s">
        <v>975</v>
      </c>
      <c r="C556" s="579" t="e">
        <f>IF(E528=0,C163,IF(AND(D585=G585,D587=G587),C163,0))</f>
        <v>#N/A</v>
      </c>
    </row>
    <row r="557" spans="1:20" s="578" customFormat="1" hidden="1" x14ac:dyDescent="0.25">
      <c r="C557" s="579"/>
    </row>
    <row r="558" spans="1:20" s="578" customFormat="1" ht="18.75" hidden="1" x14ac:dyDescent="0.3">
      <c r="A558" s="581" t="s">
        <v>978</v>
      </c>
      <c r="B558" s="582"/>
      <c r="C558" s="582"/>
      <c r="D558" s="582"/>
      <c r="E558" s="582"/>
      <c r="F558" s="582"/>
      <c r="G558" s="582"/>
      <c r="H558" s="582"/>
      <c r="I558" s="582"/>
      <c r="J558" s="582"/>
      <c r="K558" s="582"/>
      <c r="L558" s="582"/>
      <c r="M558" s="582"/>
      <c r="N558" s="582"/>
      <c r="O558" s="582"/>
      <c r="P558" s="582"/>
      <c r="Q558" s="582"/>
      <c r="R558" s="582"/>
      <c r="S558" s="582"/>
      <c r="T558" s="582"/>
    </row>
    <row r="559" spans="1:20" s="578" customFormat="1" hidden="1" x14ac:dyDescent="0.25"/>
    <row r="560" spans="1:20" s="578" customFormat="1" hidden="1" x14ac:dyDescent="0.25">
      <c r="A560" s="583" t="s">
        <v>980</v>
      </c>
      <c r="B560" s="583"/>
      <c r="C560" s="583"/>
      <c r="D560" s="583"/>
      <c r="E560" s="583"/>
      <c r="F560" s="583"/>
      <c r="G560" s="583"/>
      <c r="H560" s="583"/>
      <c r="I560" s="583"/>
      <c r="J560" s="583"/>
      <c r="K560" s="583"/>
      <c r="L560" s="583"/>
      <c r="M560" s="583"/>
      <c r="N560" s="583"/>
      <c r="O560" s="583"/>
    </row>
    <row r="561" spans="1:20" s="578" customFormat="1" hidden="1" x14ac:dyDescent="0.25"/>
    <row r="562" spans="1:20" s="578" customFormat="1" hidden="1" x14ac:dyDescent="0.25">
      <c r="A562" s="583" t="s">
        <v>981</v>
      </c>
      <c r="B562" s="583"/>
      <c r="C562" s="583"/>
      <c r="D562" s="583"/>
      <c r="E562" s="583"/>
      <c r="F562" s="583"/>
      <c r="G562" s="583"/>
      <c r="H562" s="583"/>
      <c r="I562" s="583"/>
      <c r="J562" s="583"/>
      <c r="K562" s="583"/>
      <c r="L562" s="583"/>
      <c r="M562" s="583"/>
      <c r="N562" s="583"/>
      <c r="O562" s="583"/>
    </row>
    <row r="563" spans="1:20" s="578" customFormat="1" hidden="1" x14ac:dyDescent="0.25"/>
    <row r="564" spans="1:20" s="578" customFormat="1" hidden="1" x14ac:dyDescent="0.25">
      <c r="A564" s="578" t="s">
        <v>1004</v>
      </c>
      <c r="G564" s="578" t="s">
        <v>1005</v>
      </c>
      <c r="O564" s="578" t="s">
        <v>1010</v>
      </c>
    </row>
    <row r="565" spans="1:20" s="578" customFormat="1" hidden="1" x14ac:dyDescent="0.25"/>
    <row r="566" spans="1:20" s="578" customFormat="1" hidden="1" x14ac:dyDescent="0.25">
      <c r="A566" s="578" t="s">
        <v>972</v>
      </c>
      <c r="C566" s="579">
        <f>D93</f>
        <v>0</v>
      </c>
      <c r="G566" s="578" t="s">
        <v>972</v>
      </c>
      <c r="I566" s="579">
        <f>C566</f>
        <v>0</v>
      </c>
      <c r="K566" s="578" t="s">
        <v>1007</v>
      </c>
      <c r="M566" s="578">
        <f>IF(OR(K79=0,K79=""),1,0)</f>
        <v>1</v>
      </c>
      <c r="O566" s="578" t="s">
        <v>972</v>
      </c>
      <c r="Q566" s="579">
        <f>IF(M566=1,C566,I566)</f>
        <v>0</v>
      </c>
    </row>
    <row r="567" spans="1:20" s="578" customFormat="1" hidden="1" x14ac:dyDescent="0.25">
      <c r="A567" s="578" t="s">
        <v>973</v>
      </c>
      <c r="C567" s="579">
        <f>D91</f>
        <v>0</v>
      </c>
      <c r="G567" s="578" t="s">
        <v>973</v>
      </c>
      <c r="I567" s="579">
        <f>C567</f>
        <v>0</v>
      </c>
      <c r="K567" s="578" t="s">
        <v>1008</v>
      </c>
      <c r="O567" s="578" t="s">
        <v>973</v>
      </c>
      <c r="Q567" s="579">
        <f>IF(M566=1,C567,I567)</f>
        <v>0</v>
      </c>
    </row>
    <row r="568" spans="1:20" s="578" customFormat="1" hidden="1" x14ac:dyDescent="0.25">
      <c r="A568" s="578" t="s">
        <v>974</v>
      </c>
      <c r="C568" s="579">
        <f>D85</f>
        <v>0</v>
      </c>
      <c r="G568" s="578" t="s">
        <v>974</v>
      </c>
      <c r="I568" s="579">
        <f>C568</f>
        <v>0</v>
      </c>
      <c r="K568" s="578" t="s">
        <v>1009</v>
      </c>
      <c r="O568" s="578" t="s">
        <v>974</v>
      </c>
      <c r="Q568" s="579">
        <f>IF(M566=1,C568,I568)</f>
        <v>0</v>
      </c>
    </row>
    <row r="569" spans="1:20" s="578" customFormat="1" hidden="1" x14ac:dyDescent="0.25">
      <c r="A569" s="578" t="s">
        <v>975</v>
      </c>
      <c r="C569" s="579">
        <f>C163</f>
        <v>0</v>
      </c>
      <c r="G569" s="578" t="s">
        <v>975</v>
      </c>
      <c r="I569" s="579" t="e">
        <f>C569*G596</f>
        <v>#DIV/0!</v>
      </c>
      <c r="O569" s="578" t="s">
        <v>975</v>
      </c>
      <c r="Q569" s="579">
        <f>IF(M566=1,C569,I569)</f>
        <v>0</v>
      </c>
    </row>
    <row r="570" spans="1:20" s="578" customFormat="1" hidden="1" x14ac:dyDescent="0.25"/>
    <row r="571" spans="1:20" s="578" customFormat="1" ht="18.75" hidden="1" x14ac:dyDescent="0.3">
      <c r="A571" s="581" t="s">
        <v>982</v>
      </c>
      <c r="B571" s="582"/>
      <c r="C571" s="582"/>
      <c r="D571" s="582"/>
      <c r="E571" s="582"/>
      <c r="F571" s="582"/>
      <c r="G571" s="582"/>
      <c r="H571" s="582"/>
      <c r="I571" s="582"/>
      <c r="J571" s="582"/>
      <c r="K571" s="582"/>
      <c r="L571" s="582"/>
      <c r="M571" s="582"/>
      <c r="N571" s="582"/>
      <c r="O571" s="582"/>
      <c r="P571" s="582"/>
      <c r="Q571" s="582"/>
      <c r="R571" s="582"/>
      <c r="S571" s="582"/>
      <c r="T571" s="582"/>
    </row>
    <row r="572" spans="1:20" s="578" customFormat="1" hidden="1" x14ac:dyDescent="0.25"/>
    <row r="573" spans="1:20" s="578" customFormat="1" hidden="1" x14ac:dyDescent="0.25">
      <c r="A573" s="578" t="s">
        <v>957</v>
      </c>
      <c r="D573" s="579" t="e">
        <f>H93-((H89-E511))</f>
        <v>#N/A</v>
      </c>
    </row>
    <row r="574" spans="1:20" s="578" customFormat="1" hidden="1" x14ac:dyDescent="0.25">
      <c r="A574" s="578" t="s">
        <v>958</v>
      </c>
      <c r="D574" s="579" t="e">
        <f>IF(D573&gt;=0,H91,IF(D573&lt;0,H91+D573))</f>
        <v>#N/A</v>
      </c>
    </row>
    <row r="575" spans="1:20" s="578" customFormat="1" hidden="1" x14ac:dyDescent="0.25"/>
    <row r="576" spans="1:20" s="578" customFormat="1" hidden="1" x14ac:dyDescent="0.25">
      <c r="A576" s="584" t="s">
        <v>959</v>
      </c>
      <c r="B576" s="584"/>
      <c r="C576" s="584"/>
      <c r="D576" s="585" t="e">
        <f>IF(C594=1,C601,G601)</f>
        <v>#N/A</v>
      </c>
      <c r="E576" s="584" t="s">
        <v>967</v>
      </c>
      <c r="F576" s="584"/>
      <c r="G576" s="586">
        <f>IF(C594=1,C600,G600)</f>
        <v>0</v>
      </c>
      <c r="H576" s="584" t="s">
        <v>968</v>
      </c>
      <c r="I576" s="584"/>
    </row>
    <row r="577" spans="1:9" s="578" customFormat="1" hidden="1" x14ac:dyDescent="0.25">
      <c r="D577" s="579"/>
      <c r="G577" s="587"/>
    </row>
    <row r="578" spans="1:9" s="578" customFormat="1" hidden="1" x14ac:dyDescent="0.25">
      <c r="A578" s="584" t="s">
        <v>960</v>
      </c>
      <c r="B578" s="584"/>
      <c r="C578" s="584"/>
      <c r="D578" s="585" t="e">
        <f>IF(C594=1,C607,G607)</f>
        <v>#N/A</v>
      </c>
      <c r="E578" s="584" t="s">
        <v>967</v>
      </c>
      <c r="F578" s="584"/>
      <c r="G578" s="586">
        <f>IF(C594=1,C606,G606)</f>
        <v>0</v>
      </c>
      <c r="H578" s="584" t="s">
        <v>968</v>
      </c>
      <c r="I578" s="584"/>
    </row>
    <row r="579" spans="1:9" s="578" customFormat="1" hidden="1" x14ac:dyDescent="0.25"/>
    <row r="580" spans="1:9" s="578" customFormat="1" hidden="1" x14ac:dyDescent="0.25">
      <c r="A580" s="578" t="s">
        <v>963</v>
      </c>
    </row>
    <row r="581" spans="1:9" s="578" customFormat="1" hidden="1" x14ac:dyDescent="0.25"/>
    <row r="582" spans="1:9" s="578" customFormat="1" hidden="1" x14ac:dyDescent="0.25">
      <c r="A582" s="578" t="s">
        <v>961</v>
      </c>
      <c r="D582" s="579" t="e">
        <f>IF(C163&lt;(E515-H85),C163,(E515-H85))</f>
        <v>#N/A</v>
      </c>
    </row>
    <row r="583" spans="1:9" s="578" customFormat="1" hidden="1" x14ac:dyDescent="0.25">
      <c r="A583" s="578" t="s">
        <v>962</v>
      </c>
      <c r="D583" s="578" t="e">
        <f>IF(H85&lt;E515,H85,E515)</f>
        <v>#N/A</v>
      </c>
    </row>
    <row r="584" spans="1:9" s="578" customFormat="1" hidden="1" x14ac:dyDescent="0.25"/>
    <row r="585" spans="1:9" s="578" customFormat="1" hidden="1" x14ac:dyDescent="0.25">
      <c r="A585" s="584" t="s">
        <v>964</v>
      </c>
      <c r="B585" s="584"/>
      <c r="C585" s="584"/>
      <c r="D585" s="585" t="e">
        <f>IF(C594=1,C613,G613)</f>
        <v>#N/A</v>
      </c>
      <c r="E585" s="584" t="s">
        <v>967</v>
      </c>
      <c r="F585" s="584"/>
      <c r="G585" s="586">
        <f>IF(C594=1,C612,G612)</f>
        <v>0</v>
      </c>
      <c r="H585" s="584" t="s">
        <v>968</v>
      </c>
      <c r="I585" s="584"/>
    </row>
    <row r="586" spans="1:9" s="578" customFormat="1" hidden="1" x14ac:dyDescent="0.25">
      <c r="D586" s="579"/>
      <c r="G586" s="588"/>
    </row>
    <row r="587" spans="1:9" s="578" customFormat="1" hidden="1" x14ac:dyDescent="0.25">
      <c r="A587" s="584" t="s">
        <v>965</v>
      </c>
      <c r="B587" s="584"/>
      <c r="C587" s="584"/>
      <c r="D587" s="584" t="e">
        <f>IF(C594=1,C619,G619)</f>
        <v>#N/A</v>
      </c>
      <c r="E587" s="584" t="s">
        <v>967</v>
      </c>
      <c r="F587" s="584"/>
      <c r="G587" s="586">
        <f>IF(C594=1,C618,G618)</f>
        <v>0</v>
      </c>
      <c r="H587" s="584" t="s">
        <v>968</v>
      </c>
      <c r="I587" s="584"/>
    </row>
    <row r="588" spans="1:9" s="578" customFormat="1" hidden="1" x14ac:dyDescent="0.25"/>
    <row r="589" spans="1:9" s="578" customFormat="1" hidden="1" x14ac:dyDescent="0.25"/>
    <row r="590" spans="1:9" s="578" customFormat="1" hidden="1" x14ac:dyDescent="0.25"/>
    <row r="591" spans="1:9" s="578" customFormat="1" hidden="1" x14ac:dyDescent="0.25">
      <c r="A591" s="589" t="s">
        <v>999</v>
      </c>
      <c r="B591" s="590"/>
      <c r="C591" s="591"/>
      <c r="E591" s="589" t="s">
        <v>1001</v>
      </c>
      <c r="F591" s="590"/>
      <c r="G591" s="592"/>
    </row>
    <row r="592" spans="1:9" s="578" customFormat="1" hidden="1" x14ac:dyDescent="0.25">
      <c r="A592" s="593" t="s">
        <v>1000</v>
      </c>
      <c r="B592" s="594"/>
      <c r="C592" s="595"/>
      <c r="E592" s="593" t="s">
        <v>1002</v>
      </c>
      <c r="F592" s="594"/>
      <c r="G592" s="596"/>
    </row>
    <row r="593" spans="1:7" s="578" customFormat="1" hidden="1" x14ac:dyDescent="0.25">
      <c r="A593" s="593"/>
      <c r="B593" s="594"/>
      <c r="C593" s="595"/>
      <c r="E593" s="593"/>
      <c r="F593" s="594"/>
      <c r="G593" s="596"/>
    </row>
    <row r="594" spans="1:7" s="578" customFormat="1" hidden="1" x14ac:dyDescent="0.25">
      <c r="A594" s="593" t="s">
        <v>1006</v>
      </c>
      <c r="B594" s="594"/>
      <c r="C594" s="597">
        <f>IF(OR(K79=0,K79=""),1,0)</f>
        <v>1</v>
      </c>
      <c r="E594" s="593" t="s">
        <v>990</v>
      </c>
      <c r="F594" s="594"/>
      <c r="G594" s="596">
        <f>IF(K79&gt;0,1,0)</f>
        <v>0</v>
      </c>
    </row>
    <row r="595" spans="1:7" s="578" customFormat="1" hidden="1" x14ac:dyDescent="0.25">
      <c r="A595" s="593"/>
      <c r="B595" s="594"/>
      <c r="C595" s="595"/>
      <c r="E595" s="593"/>
      <c r="F595" s="594"/>
      <c r="G595" s="596"/>
    </row>
    <row r="596" spans="1:7" s="578" customFormat="1" hidden="1" x14ac:dyDescent="0.25">
      <c r="A596" s="593"/>
      <c r="B596" s="594"/>
      <c r="C596" s="595"/>
      <c r="E596" s="593" t="s">
        <v>1003</v>
      </c>
      <c r="F596" s="594"/>
      <c r="G596" s="596" t="e">
        <f>(D79+K79)/D79</f>
        <v>#DIV/0!</v>
      </c>
    </row>
    <row r="597" spans="1:7" s="578" customFormat="1" hidden="1" x14ac:dyDescent="0.25">
      <c r="A597" s="593"/>
      <c r="B597" s="594"/>
      <c r="C597" s="595"/>
      <c r="E597" s="593"/>
      <c r="F597" s="594"/>
      <c r="G597" s="596"/>
    </row>
    <row r="598" spans="1:7" s="578" customFormat="1" hidden="1" x14ac:dyDescent="0.25">
      <c r="A598" s="593" t="s">
        <v>993</v>
      </c>
      <c r="B598" s="594"/>
      <c r="C598" s="595"/>
      <c r="E598" s="593" t="s">
        <v>993</v>
      </c>
      <c r="F598" s="594"/>
      <c r="G598" s="595"/>
    </row>
    <row r="599" spans="1:7" s="578" customFormat="1" hidden="1" x14ac:dyDescent="0.25">
      <c r="A599" s="593"/>
      <c r="B599" s="594"/>
      <c r="C599" s="595"/>
      <c r="E599" s="593"/>
      <c r="F599" s="594"/>
      <c r="G599" s="595"/>
    </row>
    <row r="600" spans="1:7" s="578" customFormat="1" hidden="1" x14ac:dyDescent="0.25">
      <c r="A600" s="593" t="s">
        <v>995</v>
      </c>
      <c r="B600" s="594"/>
      <c r="C600" s="595">
        <f>H93</f>
        <v>0</v>
      </c>
      <c r="E600" s="593" t="s">
        <v>995</v>
      </c>
      <c r="F600" s="594"/>
      <c r="G600" s="595">
        <f>D93</f>
        <v>0</v>
      </c>
    </row>
    <row r="601" spans="1:7" s="578" customFormat="1" hidden="1" x14ac:dyDescent="0.25">
      <c r="A601" s="593" t="s">
        <v>994</v>
      </c>
      <c r="B601" s="594"/>
      <c r="C601" s="595" t="e">
        <f>IF(D573&lt;0,0,IF(D573&gt;=H93,H93,D573))</f>
        <v>#N/A</v>
      </c>
      <c r="E601" s="593" t="s">
        <v>994</v>
      </c>
      <c r="F601" s="594"/>
      <c r="G601" s="595" t="e">
        <f>C601*G596</f>
        <v>#N/A</v>
      </c>
    </row>
    <row r="602" spans="1:7" s="578" customFormat="1" hidden="1" x14ac:dyDescent="0.25">
      <c r="A602" s="593"/>
      <c r="B602" s="594"/>
      <c r="C602" s="595"/>
      <c r="E602" s="593"/>
      <c r="F602" s="594"/>
      <c r="G602" s="595"/>
    </row>
    <row r="603" spans="1:7" s="578" customFormat="1" hidden="1" x14ac:dyDescent="0.25">
      <c r="A603" s="593"/>
      <c r="B603" s="594"/>
      <c r="C603" s="595"/>
      <c r="E603" s="593"/>
      <c r="F603" s="594"/>
      <c r="G603" s="595"/>
    </row>
    <row r="604" spans="1:7" s="578" customFormat="1" hidden="1" x14ac:dyDescent="0.25">
      <c r="A604" s="593" t="s">
        <v>996</v>
      </c>
      <c r="B604" s="594"/>
      <c r="C604" s="595"/>
      <c r="E604" s="593" t="s">
        <v>996</v>
      </c>
      <c r="F604" s="594"/>
      <c r="G604" s="595"/>
    </row>
    <row r="605" spans="1:7" s="578" customFormat="1" hidden="1" x14ac:dyDescent="0.25">
      <c r="A605" s="593"/>
      <c r="B605" s="594"/>
      <c r="C605" s="595"/>
      <c r="E605" s="593"/>
      <c r="F605" s="594"/>
      <c r="G605" s="595"/>
    </row>
    <row r="606" spans="1:7" s="578" customFormat="1" hidden="1" x14ac:dyDescent="0.25">
      <c r="A606" s="593" t="s">
        <v>995</v>
      </c>
      <c r="B606" s="594"/>
      <c r="C606" s="595">
        <f>H91</f>
        <v>0</v>
      </c>
      <c r="E606" s="593" t="s">
        <v>995</v>
      </c>
      <c r="F606" s="594"/>
      <c r="G606" s="595">
        <f>D91</f>
        <v>0</v>
      </c>
    </row>
    <row r="607" spans="1:7" s="578" customFormat="1" hidden="1" x14ac:dyDescent="0.25">
      <c r="A607" s="593" t="s">
        <v>994</v>
      </c>
      <c r="B607" s="594"/>
      <c r="C607" s="595" t="e">
        <f>D574</f>
        <v>#N/A</v>
      </c>
      <c r="E607" s="593" t="s">
        <v>994</v>
      </c>
      <c r="F607" s="594"/>
      <c r="G607" s="595" t="e">
        <f>C607*G596</f>
        <v>#N/A</v>
      </c>
    </row>
    <row r="608" spans="1:7" s="578" customFormat="1" hidden="1" x14ac:dyDescent="0.25">
      <c r="A608" s="593"/>
      <c r="B608" s="594"/>
      <c r="C608" s="595"/>
      <c r="E608" s="593"/>
      <c r="F608" s="594"/>
      <c r="G608" s="595"/>
    </row>
    <row r="609" spans="1:7" s="578" customFormat="1" hidden="1" x14ac:dyDescent="0.25">
      <c r="A609" s="593"/>
      <c r="B609" s="594"/>
      <c r="C609" s="595"/>
      <c r="E609" s="593"/>
      <c r="F609" s="594"/>
      <c r="G609" s="595"/>
    </row>
    <row r="610" spans="1:7" s="578" customFormat="1" hidden="1" x14ac:dyDescent="0.25">
      <c r="A610" s="593" t="s">
        <v>997</v>
      </c>
      <c r="B610" s="594"/>
      <c r="C610" s="595"/>
      <c r="E610" s="593" t="s">
        <v>997</v>
      </c>
      <c r="F610" s="594"/>
      <c r="G610" s="595"/>
    </row>
    <row r="611" spans="1:7" s="578" customFormat="1" hidden="1" x14ac:dyDescent="0.25">
      <c r="A611" s="593"/>
      <c r="B611" s="594"/>
      <c r="C611" s="595"/>
      <c r="E611" s="593"/>
      <c r="F611" s="594"/>
      <c r="G611" s="595"/>
    </row>
    <row r="612" spans="1:7" s="578" customFormat="1" hidden="1" x14ac:dyDescent="0.25">
      <c r="A612" s="593" t="s">
        <v>995</v>
      </c>
      <c r="B612" s="594"/>
      <c r="C612" s="595">
        <f>C163</f>
        <v>0</v>
      </c>
      <c r="E612" s="593" t="s">
        <v>995</v>
      </c>
      <c r="F612" s="594"/>
      <c r="G612" s="595" t="e">
        <f>C163*G596</f>
        <v>#DIV/0!</v>
      </c>
    </row>
    <row r="613" spans="1:7" s="578" customFormat="1" hidden="1" x14ac:dyDescent="0.25">
      <c r="A613" s="593" t="s">
        <v>994</v>
      </c>
      <c r="B613" s="594"/>
      <c r="C613" s="595" t="e">
        <f>IF(D582&lt;0,0,D582)</f>
        <v>#N/A</v>
      </c>
      <c r="E613" s="593" t="s">
        <v>994</v>
      </c>
      <c r="F613" s="594"/>
      <c r="G613" s="595" t="e">
        <f>C613*G596</f>
        <v>#N/A</v>
      </c>
    </row>
    <row r="614" spans="1:7" s="578" customFormat="1" hidden="1" x14ac:dyDescent="0.25">
      <c r="A614" s="593"/>
      <c r="B614" s="594"/>
      <c r="C614" s="595"/>
      <c r="E614" s="593"/>
      <c r="F614" s="594"/>
      <c r="G614" s="595"/>
    </row>
    <row r="615" spans="1:7" s="578" customFormat="1" hidden="1" x14ac:dyDescent="0.25">
      <c r="A615" s="593"/>
      <c r="B615" s="594"/>
      <c r="C615" s="595"/>
      <c r="E615" s="593"/>
      <c r="F615" s="594"/>
      <c r="G615" s="595"/>
    </row>
    <row r="616" spans="1:7" s="578" customFormat="1" hidden="1" x14ac:dyDescent="0.25">
      <c r="A616" s="593" t="s">
        <v>998</v>
      </c>
      <c r="B616" s="594"/>
      <c r="C616" s="595"/>
      <c r="E616" s="593" t="s">
        <v>998</v>
      </c>
      <c r="F616" s="594"/>
      <c r="G616" s="595"/>
    </row>
    <row r="617" spans="1:7" s="578" customFormat="1" hidden="1" x14ac:dyDescent="0.25">
      <c r="A617" s="593"/>
      <c r="B617" s="594"/>
      <c r="C617" s="595"/>
      <c r="E617" s="593"/>
      <c r="F617" s="594"/>
      <c r="G617" s="595"/>
    </row>
    <row r="618" spans="1:7" s="578" customFormat="1" hidden="1" x14ac:dyDescent="0.25">
      <c r="A618" s="593" t="s">
        <v>995</v>
      </c>
      <c r="B618" s="594"/>
      <c r="C618" s="595">
        <f>H85</f>
        <v>0</v>
      </c>
      <c r="E618" s="593" t="s">
        <v>995</v>
      </c>
      <c r="F618" s="594"/>
      <c r="G618" s="595">
        <f>D85</f>
        <v>0</v>
      </c>
    </row>
    <row r="619" spans="1:7" s="578" customFormat="1" hidden="1" x14ac:dyDescent="0.25">
      <c r="A619" s="598" t="s">
        <v>994</v>
      </c>
      <c r="B619" s="599"/>
      <c r="C619" s="600" t="e">
        <f>D583</f>
        <v>#N/A</v>
      </c>
      <c r="E619" s="598" t="s">
        <v>994</v>
      </c>
      <c r="F619" s="599"/>
      <c r="G619" s="600" t="e">
        <f>C619*G596</f>
        <v>#N/A</v>
      </c>
    </row>
    <row r="620" spans="1:7" s="578" customFormat="1" hidden="1" x14ac:dyDescent="0.25"/>
    <row r="621" spans="1:7" s="578" customFormat="1" hidden="1" x14ac:dyDescent="0.25"/>
    <row r="622" spans="1:7" s="362" customFormat="1" ht="18.75" hidden="1" x14ac:dyDescent="0.3">
      <c r="A622" s="361" t="s">
        <v>1068</v>
      </c>
    </row>
    <row r="623" spans="1:7" hidden="1" x14ac:dyDescent="0.25"/>
    <row r="624" spans="1:7" hidden="1" x14ac:dyDescent="0.25">
      <c r="A624" s="3" t="s">
        <v>1074</v>
      </c>
    </row>
    <row r="625" spans="1:1" hidden="1" x14ac:dyDescent="0.25">
      <c r="A625" s="3" t="s">
        <v>1070</v>
      </c>
    </row>
    <row r="626" spans="1:1" hidden="1" x14ac:dyDescent="0.25">
      <c r="A626" s="3" t="s">
        <v>1075</v>
      </c>
    </row>
    <row r="627" spans="1:1" hidden="1" x14ac:dyDescent="0.25">
      <c r="A627" s="3" t="s">
        <v>1071</v>
      </c>
    </row>
    <row r="628" spans="1:1" hidden="1" x14ac:dyDescent="0.25"/>
    <row r="629" spans="1:1" hidden="1" x14ac:dyDescent="0.25">
      <c r="A629" s="3" t="s">
        <v>1073</v>
      </c>
    </row>
    <row r="630" spans="1:1" hidden="1" x14ac:dyDescent="0.25">
      <c r="A630" s="3" t="s">
        <v>1069</v>
      </c>
    </row>
    <row r="631" spans="1:1" hidden="1" x14ac:dyDescent="0.25">
      <c r="A631" s="3" t="s">
        <v>1083</v>
      </c>
    </row>
    <row r="632" spans="1:1" hidden="1" x14ac:dyDescent="0.25"/>
    <row r="633" spans="1:1" hidden="1" x14ac:dyDescent="0.25">
      <c r="A633" s="3" t="s">
        <v>1072</v>
      </c>
    </row>
    <row r="634" spans="1:1" hidden="1" x14ac:dyDescent="0.25"/>
    <row r="635" spans="1:1" hidden="1" x14ac:dyDescent="0.25">
      <c r="A635" s="3" t="s">
        <v>1084</v>
      </c>
    </row>
    <row r="636" spans="1:1" hidden="1" x14ac:dyDescent="0.25"/>
    <row r="637" spans="1:1" hidden="1" x14ac:dyDescent="0.25">
      <c r="A637" s="3" t="s">
        <v>1120</v>
      </c>
    </row>
    <row r="638" spans="1:1" hidden="1" x14ac:dyDescent="0.25"/>
    <row r="639" spans="1:1" hidden="1" x14ac:dyDescent="0.25">
      <c r="A639" s="3" t="s">
        <v>1082</v>
      </c>
    </row>
    <row r="640" spans="1:1" hidden="1" x14ac:dyDescent="0.25"/>
    <row r="641" spans="1:4" hidden="1" x14ac:dyDescent="0.25">
      <c r="A641" s="3" t="s">
        <v>1076</v>
      </c>
      <c r="D641" s="3" t="e">
        <f>IF(AND(Daten!E523=0,Daten!C356=0),A633&amp;" "&amp;A626)</f>
        <v>#N/A</v>
      </c>
    </row>
    <row r="642" spans="1:4" hidden="1" x14ac:dyDescent="0.25">
      <c r="A642" s="3" t="s">
        <v>1078</v>
      </c>
    </row>
    <row r="643" spans="1:4" hidden="1" x14ac:dyDescent="0.25"/>
    <row r="644" spans="1:4" hidden="1" x14ac:dyDescent="0.25">
      <c r="A644" s="3" t="s">
        <v>1077</v>
      </c>
      <c r="D644" s="3" t="e">
        <f>IF(AND(Daten!E523=0,Daten!C356=1),A633&amp;" "&amp;A626&amp;" "&amp;A635&amp;" "&amp;A630&amp;" "&amp;A625)</f>
        <v>#N/A</v>
      </c>
    </row>
    <row r="645" spans="1:4" hidden="1" x14ac:dyDescent="0.25">
      <c r="A645" s="3" t="s">
        <v>1078</v>
      </c>
      <c r="D645" s="3" t="e">
        <f>IF(AND(Daten!E523=0,Daten!C356=1),A637)</f>
        <v>#N/A</v>
      </c>
    </row>
    <row r="646" spans="1:4" hidden="1" x14ac:dyDescent="0.25"/>
    <row r="647" spans="1:4" hidden="1" x14ac:dyDescent="0.25">
      <c r="A647" s="3" t="s">
        <v>1079</v>
      </c>
      <c r="D647" s="3" t="e">
        <f>IF(AND(Daten!E523=1,Daten!C356=0),A633&amp;" "&amp;A624)</f>
        <v>#N/A</v>
      </c>
    </row>
    <row r="648" spans="1:4" hidden="1" x14ac:dyDescent="0.25">
      <c r="A648" s="3" t="s">
        <v>1078</v>
      </c>
    </row>
    <row r="649" spans="1:4" hidden="1" x14ac:dyDescent="0.25"/>
    <row r="650" spans="1:4" hidden="1" x14ac:dyDescent="0.25">
      <c r="A650" s="3" t="s">
        <v>1080</v>
      </c>
      <c r="D650" s="3" t="e">
        <f>IF(AND(Daten!E523=1,Daten!C356=1),A633&amp;" "&amp;A624&amp;" "&amp;A635&amp;" "&amp;A629)</f>
        <v>#N/A</v>
      </c>
    </row>
    <row r="651" spans="1:4" hidden="1" x14ac:dyDescent="0.25">
      <c r="A651" s="3" t="s">
        <v>1078</v>
      </c>
      <c r="D651" s="3" t="e">
        <f>IF(AND(Daten!E523=1,Daten!C356=1),A625&amp;" "&amp;A637)</f>
        <v>#N/A</v>
      </c>
    </row>
    <row r="652" spans="1:4" hidden="1" x14ac:dyDescent="0.25"/>
    <row r="653" spans="1:4" hidden="1" x14ac:dyDescent="0.25">
      <c r="A653" s="403" t="s">
        <v>1119</v>
      </c>
    </row>
    <row r="654" spans="1:4" hidden="1" x14ac:dyDescent="0.25">
      <c r="A654" s="3" t="s">
        <v>1088</v>
      </c>
    </row>
    <row r="655" spans="1:4" hidden="1" x14ac:dyDescent="0.25">
      <c r="A655" s="3" t="s">
        <v>1086</v>
      </c>
    </row>
    <row r="656" spans="1:4" hidden="1" x14ac:dyDescent="0.25">
      <c r="A656" s="3" t="s">
        <v>1087</v>
      </c>
    </row>
    <row r="657" spans="1:1" hidden="1" x14ac:dyDescent="0.25"/>
    <row r="658" spans="1:1" s="392" customFormat="1" ht="18.75" hidden="1" x14ac:dyDescent="0.3">
      <c r="A658" s="391" t="s">
        <v>1099</v>
      </c>
    </row>
    <row r="659" spans="1:1" hidden="1" x14ac:dyDescent="0.25"/>
    <row r="660" spans="1:1" hidden="1" x14ac:dyDescent="0.25">
      <c r="A660" s="3" t="s">
        <v>1118</v>
      </c>
    </row>
    <row r="661" spans="1:1" hidden="1" x14ac:dyDescent="0.25"/>
    <row r="662" spans="1:1" hidden="1" x14ac:dyDescent="0.25">
      <c r="A662" s="3" t="s">
        <v>1158</v>
      </c>
    </row>
    <row r="663" spans="1:1" hidden="1" x14ac:dyDescent="0.25"/>
    <row r="664" spans="1:1" hidden="1" x14ac:dyDescent="0.25"/>
    <row r="665" spans="1:1" hidden="1" x14ac:dyDescent="0.25"/>
    <row r="666" spans="1:1" hidden="1" x14ac:dyDescent="0.25">
      <c r="A666" s="3" t="s">
        <v>894</v>
      </c>
    </row>
    <row r="667" spans="1:1" hidden="1" x14ac:dyDescent="0.25"/>
    <row r="668" spans="1:1" hidden="1" x14ac:dyDescent="0.25">
      <c r="A668" s="3" t="s">
        <v>1116</v>
      </c>
    </row>
    <row r="669" spans="1:1" hidden="1" x14ac:dyDescent="0.25"/>
    <row r="670" spans="1:1" hidden="1" x14ac:dyDescent="0.25">
      <c r="A670" s="3" t="s">
        <v>984</v>
      </c>
    </row>
    <row r="671" spans="1:1" hidden="1" x14ac:dyDescent="0.25">
      <c r="A671" s="3" t="s">
        <v>1179</v>
      </c>
    </row>
    <row r="672" spans="1:1" hidden="1" x14ac:dyDescent="0.25"/>
    <row r="673" spans="1:1" hidden="1" x14ac:dyDescent="0.25">
      <c r="A673" s="3" t="s">
        <v>1159</v>
      </c>
    </row>
    <row r="674" spans="1:1" hidden="1" x14ac:dyDescent="0.25">
      <c r="A674" s="403" t="s">
        <v>1160</v>
      </c>
    </row>
    <row r="675" spans="1:1" hidden="1" x14ac:dyDescent="0.25">
      <c r="A675" s="403" t="s">
        <v>1161</v>
      </c>
    </row>
    <row r="676" spans="1:1" hidden="1" x14ac:dyDescent="0.25">
      <c r="A676" s="3" t="s">
        <v>838</v>
      </c>
    </row>
    <row r="677" spans="1:1" hidden="1" x14ac:dyDescent="0.25">
      <c r="A677" s="3" t="s">
        <v>1162</v>
      </c>
    </row>
    <row r="678" spans="1:1" hidden="1" x14ac:dyDescent="0.25">
      <c r="A678" s="3" t="s">
        <v>1163</v>
      </c>
    </row>
    <row r="679" spans="1:1" hidden="1" x14ac:dyDescent="0.25"/>
    <row r="680" spans="1:1" hidden="1" x14ac:dyDescent="0.25">
      <c r="A680" s="3" t="s">
        <v>1164</v>
      </c>
    </row>
    <row r="681" spans="1:1" hidden="1" x14ac:dyDescent="0.25">
      <c r="A681" s="3" t="s">
        <v>1165</v>
      </c>
    </row>
    <row r="682" spans="1:1" hidden="1" x14ac:dyDescent="0.25">
      <c r="A682" s="3" t="s">
        <v>1166</v>
      </c>
    </row>
  </sheetData>
  <sheetProtection sheet="1" selectLockedCells="1" selectUnlockedCells="1"/>
  <mergeCells count="71">
    <mergeCell ref="V320:AE320"/>
    <mergeCell ref="Z321:AA321"/>
    <mergeCell ref="Z322:AA322"/>
    <mergeCell ref="A339:E339"/>
    <mergeCell ref="L322:M322"/>
    <mergeCell ref="L321:M321"/>
    <mergeCell ref="B322:C322"/>
    <mergeCell ref="D322:E322"/>
    <mergeCell ref="F322:G322"/>
    <mergeCell ref="H322:I322"/>
    <mergeCell ref="J322:K322"/>
    <mergeCell ref="B321:C321"/>
    <mergeCell ref="D321:E321"/>
    <mergeCell ref="F321:G321"/>
    <mergeCell ref="H321:I321"/>
    <mergeCell ref="J321:K321"/>
    <mergeCell ref="X322:Y322"/>
    <mergeCell ref="N321:O321"/>
    <mergeCell ref="P321:Q321"/>
    <mergeCell ref="R321:S321"/>
    <mergeCell ref="T321:U321"/>
    <mergeCell ref="V321:W321"/>
    <mergeCell ref="AB321:AC321"/>
    <mergeCell ref="AB322:AC322"/>
    <mergeCell ref="AD321:AE321"/>
    <mergeCell ref="AD322:AE322"/>
    <mergeCell ref="C279:D279"/>
    <mergeCell ref="C280:D280"/>
    <mergeCell ref="C281:D281"/>
    <mergeCell ref="C282:D282"/>
    <mergeCell ref="C283:D283"/>
    <mergeCell ref="A316:M318"/>
    <mergeCell ref="N320:U320"/>
    <mergeCell ref="X321:Y321"/>
    <mergeCell ref="N322:O322"/>
    <mergeCell ref="P322:Q322"/>
    <mergeCell ref="R322:S322"/>
    <mergeCell ref="T322:U322"/>
    <mergeCell ref="D101:F101"/>
    <mergeCell ref="G170:M181"/>
    <mergeCell ref="E187:H192"/>
    <mergeCell ref="A211:H215"/>
    <mergeCell ref="K246:O247"/>
    <mergeCell ref="A365:J366"/>
    <mergeCell ref="A140:H140"/>
    <mergeCell ref="W225:X225"/>
    <mergeCell ref="F285:G285"/>
    <mergeCell ref="H271:I283"/>
    <mergeCell ref="A305:L307"/>
    <mergeCell ref="B320:M320"/>
    <mergeCell ref="C271:D271"/>
    <mergeCell ref="C272:D272"/>
    <mergeCell ref="C273:D273"/>
    <mergeCell ref="C274:D274"/>
    <mergeCell ref="C275:D275"/>
    <mergeCell ref="C276:D276"/>
    <mergeCell ref="C277:D277"/>
    <mergeCell ref="C278:D278"/>
    <mergeCell ref="V322:W322"/>
    <mergeCell ref="Y225:Z225"/>
    <mergeCell ref="A221:H223"/>
    <mergeCell ref="M225:N225"/>
    <mergeCell ref="O225:P225"/>
    <mergeCell ref="Q225:R225"/>
    <mergeCell ref="S225:T225"/>
    <mergeCell ref="U225:V225"/>
    <mergeCell ref="C225:D225"/>
    <mergeCell ref="E225:F225"/>
    <mergeCell ref="G225:H225"/>
    <mergeCell ref="I225:J225"/>
    <mergeCell ref="K225:L225"/>
  </mergeCells>
  <conditionalFormatting sqref="BL44:BP44">
    <cfRule type="expression" priority="2">
      <formula>$AG$44=$H$39</formula>
    </cfRule>
  </conditionalFormatting>
  <conditionalFormatting sqref="AK186:BK192">
    <cfRule type="expression" priority="1">
      <formula>$B$545=0</formula>
    </cfRule>
  </conditionalFormatting>
  <pageMargins left="0.7" right="0.7" top="0.78740157499999996" bottom="0.78740157499999996" header="0.3" footer="0.3"/>
  <pageSetup paperSize="9" orientation="portrait" r:id="rId1"/>
  <ignoredErrors>
    <ignoredError sqref="B328 D328 F328 H328 J328 L328 N328 P328 R328 T328 V328 X328 Z328 AB328 AD328" numberStoredAsText="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L176"/>
  <sheetViews>
    <sheetView topLeftCell="A70" workbookViewId="0">
      <selection activeCell="H96" sqref="H96"/>
    </sheetView>
  </sheetViews>
  <sheetFormatPr baseColWidth="10" defaultRowHeight="15" x14ac:dyDescent="0.25"/>
  <cols>
    <col min="2" max="2" width="32.140625" customWidth="1"/>
    <col min="3" max="3" width="38.7109375" customWidth="1"/>
    <col min="12" max="12" width="11.42578125" style="348"/>
  </cols>
  <sheetData>
    <row r="1" spans="1:12" x14ac:dyDescent="0.25">
      <c r="A1" s="826" t="s">
        <v>1051</v>
      </c>
      <c r="B1" s="826"/>
      <c r="C1" s="826"/>
      <c r="D1" s="826"/>
      <c r="E1" s="826"/>
      <c r="F1" s="826"/>
      <c r="G1" s="826"/>
      <c r="H1" s="826"/>
      <c r="I1" s="826"/>
      <c r="J1" s="826"/>
      <c r="K1" s="826"/>
      <c r="L1" s="826"/>
    </row>
    <row r="2" spans="1:12" x14ac:dyDescent="0.25">
      <c r="A2" s="826"/>
      <c r="B2" s="826"/>
      <c r="C2" s="826"/>
      <c r="D2" s="826"/>
      <c r="E2" s="826"/>
      <c r="F2" s="826"/>
      <c r="G2" s="826"/>
      <c r="H2" s="826"/>
      <c r="I2" s="826"/>
      <c r="J2" s="826"/>
      <c r="K2" s="826"/>
      <c r="L2" s="826"/>
    </row>
    <row r="4" spans="1:12" x14ac:dyDescent="0.25">
      <c r="E4" t="s">
        <v>693</v>
      </c>
      <c r="F4" t="s">
        <v>1046</v>
      </c>
      <c r="G4" t="s">
        <v>1047</v>
      </c>
      <c r="H4" t="s">
        <v>1359</v>
      </c>
    </row>
    <row r="5" spans="1:12" x14ac:dyDescent="0.25">
      <c r="A5" s="167">
        <v>1</v>
      </c>
      <c r="B5" s="168" t="s">
        <v>0</v>
      </c>
      <c r="C5" s="169" t="s">
        <v>1</v>
      </c>
      <c r="D5" s="169" t="s">
        <v>333</v>
      </c>
      <c r="E5" s="170">
        <v>4</v>
      </c>
      <c r="F5" s="170">
        <v>1</v>
      </c>
      <c r="G5" s="170">
        <v>1</v>
      </c>
      <c r="H5" s="170">
        <v>2</v>
      </c>
      <c r="I5" s="170"/>
      <c r="J5" s="170"/>
      <c r="K5" s="170"/>
      <c r="L5" s="348" t="str">
        <f>IF(Daten!$A$272=1,E5,IF(Daten!$A$273=1,F5,IF(Daten!$A$274=1,G5,IF(Daten!$A$275=1,Mietstufenzuordnung!H5,"nV"))))</f>
        <v>nV</v>
      </c>
    </row>
    <row r="6" spans="1:12" x14ac:dyDescent="0.25">
      <c r="A6" s="167">
        <v>2</v>
      </c>
      <c r="B6" s="168" t="s">
        <v>2</v>
      </c>
      <c r="C6" s="169" t="s">
        <v>3</v>
      </c>
      <c r="D6" s="169" t="s">
        <v>333</v>
      </c>
      <c r="E6" s="170">
        <v>2</v>
      </c>
      <c r="F6" s="170">
        <v>3</v>
      </c>
      <c r="G6" s="170">
        <v>3</v>
      </c>
      <c r="H6" s="170">
        <v>2</v>
      </c>
      <c r="I6" s="170"/>
      <c r="J6" s="170"/>
      <c r="K6" s="170"/>
      <c r="L6" s="348" t="str">
        <f>IF(Daten!$A$272=1,E6,IF(Daten!$A$273=1,F6,IF(Daten!$A$274=1,G6,IF(Daten!$A$275=1,Mietstufenzuordnung!H6,"nV"))))</f>
        <v>nV</v>
      </c>
    </row>
    <row r="7" spans="1:12" x14ac:dyDescent="0.25">
      <c r="A7" s="167">
        <v>3</v>
      </c>
      <c r="B7" s="168" t="s">
        <v>4</v>
      </c>
      <c r="C7" s="169" t="s">
        <v>5</v>
      </c>
      <c r="D7" s="169" t="s">
        <v>333</v>
      </c>
      <c r="E7" s="170">
        <v>4</v>
      </c>
      <c r="F7" s="170">
        <v>1</v>
      </c>
      <c r="G7" s="170">
        <v>2</v>
      </c>
      <c r="H7" s="170">
        <v>2</v>
      </c>
      <c r="I7" s="170"/>
      <c r="J7" s="170"/>
      <c r="K7" s="170"/>
      <c r="L7" s="348" t="str">
        <f>IF(Daten!$A$272=1,E7,IF(Daten!$A$273=1,F7,IF(Daten!$A$274=1,G7,IF(Daten!$A$275=1,Mietstufenzuordnung!H7,"nV"))))</f>
        <v>nV</v>
      </c>
    </row>
    <row r="8" spans="1:12" x14ac:dyDescent="0.25">
      <c r="A8" s="167">
        <v>4</v>
      </c>
      <c r="B8" s="168" t="s">
        <v>6</v>
      </c>
      <c r="C8" s="169" t="s">
        <v>7</v>
      </c>
      <c r="D8" s="169" t="s">
        <v>333</v>
      </c>
      <c r="E8" s="170">
        <v>4</v>
      </c>
      <c r="F8" s="170">
        <v>1</v>
      </c>
      <c r="G8" s="170">
        <v>1</v>
      </c>
      <c r="H8" s="170">
        <v>2</v>
      </c>
      <c r="I8" s="170"/>
      <c r="J8" s="170"/>
      <c r="K8" s="170"/>
      <c r="L8" s="348" t="str">
        <f>IF(Daten!$A$272=1,E8,IF(Daten!$A$273=1,F8,IF(Daten!$A$274=1,G8,IF(Daten!$A$275=1,Mietstufenzuordnung!H8,"nV"))))</f>
        <v>nV</v>
      </c>
    </row>
    <row r="9" spans="1:12" x14ac:dyDescent="0.25">
      <c r="A9" s="167">
        <v>5</v>
      </c>
      <c r="B9" s="168" t="s">
        <v>8</v>
      </c>
      <c r="C9" s="169" t="s">
        <v>9</v>
      </c>
      <c r="D9" s="169" t="s">
        <v>333</v>
      </c>
      <c r="E9" s="170">
        <v>4</v>
      </c>
      <c r="F9" s="170">
        <v>1</v>
      </c>
      <c r="G9" s="170">
        <v>1</v>
      </c>
      <c r="H9" s="170">
        <v>2</v>
      </c>
      <c r="I9" s="170"/>
      <c r="J9" s="170"/>
      <c r="K9" s="170"/>
      <c r="L9" s="348" t="str">
        <f>IF(Daten!$A$272=1,E9,IF(Daten!$A$273=1,F9,IF(Daten!$A$274=1,G9,IF(Daten!$A$275=1,Mietstufenzuordnung!H9,"nV"))))</f>
        <v>nV</v>
      </c>
    </row>
    <row r="10" spans="1:12" x14ac:dyDescent="0.25">
      <c r="A10" s="167">
        <v>6</v>
      </c>
      <c r="B10" s="168" t="s">
        <v>10</v>
      </c>
      <c r="C10" s="169" t="s">
        <v>11</v>
      </c>
      <c r="D10" s="169" t="s">
        <v>333</v>
      </c>
      <c r="E10" s="170">
        <v>4</v>
      </c>
      <c r="F10" s="170">
        <v>1</v>
      </c>
      <c r="G10" s="170">
        <v>1</v>
      </c>
      <c r="H10" s="170">
        <v>2</v>
      </c>
      <c r="I10" s="170"/>
      <c r="J10" s="170"/>
      <c r="K10" s="170"/>
      <c r="L10" s="348" t="str">
        <f>IF(Daten!$A$272=1,E10,IF(Daten!$A$273=1,F10,IF(Daten!$A$274=1,G10,IF(Daten!$A$275=1,Mietstufenzuordnung!H10,"nV"))))</f>
        <v>nV</v>
      </c>
    </row>
    <row r="11" spans="1:12" x14ac:dyDescent="0.25">
      <c r="A11" s="167">
        <v>7</v>
      </c>
      <c r="B11" s="168" t="s">
        <v>12</v>
      </c>
      <c r="C11" s="169" t="s">
        <v>13</v>
      </c>
      <c r="D11" s="169" t="s">
        <v>333</v>
      </c>
      <c r="E11" s="170">
        <v>4</v>
      </c>
      <c r="F11" s="170">
        <v>1</v>
      </c>
      <c r="G11" s="170">
        <v>1</v>
      </c>
      <c r="H11" s="170">
        <v>2</v>
      </c>
      <c r="I11" s="170"/>
      <c r="J11" s="170"/>
      <c r="K11" s="170"/>
      <c r="L11" s="348" t="str">
        <f>IF(Daten!$A$272=1,E11,IF(Daten!$A$273=1,F11,IF(Daten!$A$274=1,G11,IF(Daten!$A$275=1,Mietstufenzuordnung!H11,"nV"))))</f>
        <v>nV</v>
      </c>
    </row>
    <row r="12" spans="1:12" x14ac:dyDescent="0.25">
      <c r="A12" s="167">
        <v>8</v>
      </c>
      <c r="B12" s="168" t="s">
        <v>14</v>
      </c>
      <c r="C12" s="169" t="s">
        <v>15</v>
      </c>
      <c r="D12" s="169" t="s">
        <v>333</v>
      </c>
      <c r="E12" s="170">
        <v>3</v>
      </c>
      <c r="F12" s="170">
        <v>1</v>
      </c>
      <c r="G12" s="170">
        <v>1</v>
      </c>
      <c r="H12" s="170">
        <v>3</v>
      </c>
      <c r="I12" s="170"/>
      <c r="J12" s="170"/>
      <c r="K12" s="170"/>
      <c r="L12" s="348" t="str">
        <f>IF(Daten!$A$272=1,E12,IF(Daten!$A$273=1,F12,IF(Daten!$A$274=1,G12,IF(Daten!$A$275=1,Mietstufenzuordnung!H12,"nV"))))</f>
        <v>nV</v>
      </c>
    </row>
    <row r="13" spans="1:12" x14ac:dyDescent="0.25">
      <c r="A13" s="167">
        <v>9</v>
      </c>
      <c r="B13" s="168" t="s">
        <v>16</v>
      </c>
      <c r="C13" s="169" t="s">
        <v>17</v>
      </c>
      <c r="D13" s="169" t="s">
        <v>333</v>
      </c>
      <c r="E13" s="170">
        <v>4</v>
      </c>
      <c r="F13" s="170">
        <v>1</v>
      </c>
      <c r="G13" s="170">
        <v>1</v>
      </c>
      <c r="H13" s="170">
        <v>2</v>
      </c>
      <c r="I13" s="170"/>
      <c r="J13" s="170"/>
      <c r="K13" s="170"/>
      <c r="L13" s="348" t="str">
        <f>IF(Daten!$A$272=1,E13,IF(Daten!$A$273=1,F13,IF(Daten!$A$274=1,G13,IF(Daten!$A$275=1,Mietstufenzuordnung!H13,"nV"))))</f>
        <v>nV</v>
      </c>
    </row>
    <row r="14" spans="1:12" x14ac:dyDescent="0.25">
      <c r="A14" s="167">
        <v>10</v>
      </c>
      <c r="B14" s="168" t="s">
        <v>18</v>
      </c>
      <c r="C14" s="169" t="s">
        <v>19</v>
      </c>
      <c r="D14" s="169" t="s">
        <v>333</v>
      </c>
      <c r="E14" s="170">
        <v>2</v>
      </c>
      <c r="F14" s="170">
        <v>2</v>
      </c>
      <c r="G14" s="170">
        <v>3</v>
      </c>
      <c r="H14" s="170">
        <v>2</v>
      </c>
      <c r="I14" s="170"/>
      <c r="J14" s="170"/>
      <c r="K14" s="170"/>
      <c r="L14" s="348" t="str">
        <f>IF(Daten!$A$272=1,E14,IF(Daten!$A$273=1,F14,IF(Daten!$A$274=1,G14,IF(Daten!$A$275=1,Mietstufenzuordnung!H14,"nV"))))</f>
        <v>nV</v>
      </c>
    </row>
    <row r="15" spans="1:12" x14ac:dyDescent="0.25">
      <c r="A15" s="167">
        <v>11</v>
      </c>
      <c r="B15" s="168" t="s">
        <v>20</v>
      </c>
      <c r="C15" s="169" t="s">
        <v>21</v>
      </c>
      <c r="D15" s="169" t="s">
        <v>333</v>
      </c>
      <c r="E15" s="170">
        <v>5</v>
      </c>
      <c r="F15" s="170">
        <v>1</v>
      </c>
      <c r="G15" s="170">
        <v>1</v>
      </c>
      <c r="H15" s="170">
        <v>4</v>
      </c>
      <c r="I15" s="170"/>
      <c r="J15" s="170"/>
      <c r="K15" s="170"/>
      <c r="L15" s="348" t="str">
        <f>IF(Daten!$A$272=1,E15,IF(Daten!$A$273=1,F15,IF(Daten!$A$274=1,G15,IF(Daten!$A$275=1,Mietstufenzuordnung!H15,"nV"))))</f>
        <v>nV</v>
      </c>
    </row>
    <row r="16" spans="1:12" x14ac:dyDescent="0.25">
      <c r="A16" s="167">
        <v>12</v>
      </c>
      <c r="B16" s="168" t="s">
        <v>22</v>
      </c>
      <c r="C16" s="169" t="s">
        <v>23</v>
      </c>
      <c r="D16" s="169" t="s">
        <v>333</v>
      </c>
      <c r="E16" s="170">
        <v>4</v>
      </c>
      <c r="F16" s="170">
        <v>1</v>
      </c>
      <c r="G16" s="170">
        <v>1</v>
      </c>
      <c r="H16" s="170">
        <v>2</v>
      </c>
      <c r="I16" s="170"/>
      <c r="J16" s="170"/>
      <c r="K16" s="170"/>
      <c r="L16" s="348" t="str">
        <f>IF(Daten!$A$272=1,E16,IF(Daten!$A$273=1,F16,IF(Daten!$A$274=1,G16,IF(Daten!$A$275=1,Mietstufenzuordnung!H16,"nV"))))</f>
        <v>nV</v>
      </c>
    </row>
    <row r="17" spans="1:12" x14ac:dyDescent="0.25">
      <c r="A17" s="167">
        <v>13</v>
      </c>
      <c r="B17" s="168" t="s">
        <v>24</v>
      </c>
      <c r="C17" s="169" t="s">
        <v>25</v>
      </c>
      <c r="D17" s="169" t="s">
        <v>333</v>
      </c>
      <c r="E17" s="170">
        <v>5</v>
      </c>
      <c r="F17" s="170">
        <v>1</v>
      </c>
      <c r="G17" s="170">
        <v>1</v>
      </c>
      <c r="H17" s="170">
        <v>4</v>
      </c>
      <c r="I17" s="170"/>
      <c r="J17" s="170"/>
      <c r="K17" s="170"/>
      <c r="L17" s="348" t="str">
        <f>IF(Daten!$A$272=1,E17,IF(Daten!$A$273=1,F17,IF(Daten!$A$274=1,G17,IF(Daten!$A$275=1,Mietstufenzuordnung!H17,"nV"))))</f>
        <v>nV</v>
      </c>
    </row>
    <row r="18" spans="1:12" x14ac:dyDescent="0.25">
      <c r="A18" s="167">
        <v>14</v>
      </c>
      <c r="B18" s="168" t="s">
        <v>339</v>
      </c>
      <c r="C18" s="169" t="s">
        <v>336</v>
      </c>
      <c r="D18" s="169" t="s">
        <v>333</v>
      </c>
      <c r="E18" s="170">
        <v>4</v>
      </c>
      <c r="F18" s="170">
        <v>1</v>
      </c>
      <c r="G18" s="170">
        <v>1</v>
      </c>
      <c r="H18" s="170">
        <v>2</v>
      </c>
      <c r="I18" s="170"/>
      <c r="J18" s="170"/>
      <c r="K18" s="170"/>
      <c r="L18" s="348" t="str">
        <f>IF(Daten!$A$272=1,E18,IF(Daten!$A$273=1,F18,IF(Daten!$A$274=1,G18,IF(Daten!$A$275=1,Mietstufenzuordnung!H18,"nV"))))</f>
        <v>nV</v>
      </c>
    </row>
    <row r="19" spans="1:12" x14ac:dyDescent="0.25">
      <c r="A19" s="167">
        <v>15</v>
      </c>
      <c r="B19" s="168" t="s">
        <v>340</v>
      </c>
      <c r="C19" s="169" t="s">
        <v>337</v>
      </c>
      <c r="D19" s="169" t="s">
        <v>333</v>
      </c>
      <c r="E19" s="170">
        <v>4</v>
      </c>
      <c r="F19" s="170">
        <v>1</v>
      </c>
      <c r="G19" s="170">
        <v>1</v>
      </c>
      <c r="H19" s="170">
        <v>2</v>
      </c>
      <c r="I19" s="170"/>
      <c r="J19" s="170"/>
      <c r="K19" s="170"/>
      <c r="L19" s="348" t="str">
        <f>IF(Daten!$A$272=1,E19,IF(Daten!$A$273=1,F19,IF(Daten!$A$274=1,G19,IF(Daten!$A$275=1,Mietstufenzuordnung!H19,"nV"))))</f>
        <v>nV</v>
      </c>
    </row>
    <row r="20" spans="1:12" x14ac:dyDescent="0.25">
      <c r="A20" s="167">
        <v>16</v>
      </c>
      <c r="B20" s="168" t="s">
        <v>26</v>
      </c>
      <c r="C20" s="169" t="s">
        <v>27</v>
      </c>
      <c r="D20" s="169" t="s">
        <v>333</v>
      </c>
      <c r="E20" s="170">
        <v>3</v>
      </c>
      <c r="F20" s="170">
        <v>1</v>
      </c>
      <c r="G20" s="170">
        <v>1</v>
      </c>
      <c r="H20" s="170">
        <v>3</v>
      </c>
      <c r="I20" s="170"/>
      <c r="J20" s="170"/>
      <c r="K20" s="170"/>
      <c r="L20" s="348" t="str">
        <f>IF(Daten!$A$272=1,E20,IF(Daten!$A$273=1,F20,IF(Daten!$A$274=1,G20,IF(Daten!$A$275=1,Mietstufenzuordnung!H20,"nV"))))</f>
        <v>nV</v>
      </c>
    </row>
    <row r="21" spans="1:12" x14ac:dyDescent="0.25">
      <c r="A21" s="167">
        <v>17</v>
      </c>
      <c r="B21" s="168" t="s">
        <v>28</v>
      </c>
      <c r="C21" s="169" t="s">
        <v>29</v>
      </c>
      <c r="D21" s="169" t="s">
        <v>333</v>
      </c>
      <c r="E21" s="170">
        <v>2</v>
      </c>
      <c r="F21" s="170">
        <v>2</v>
      </c>
      <c r="G21" s="170">
        <v>3</v>
      </c>
      <c r="H21" s="170">
        <v>1</v>
      </c>
      <c r="I21" s="170"/>
      <c r="J21" s="170"/>
      <c r="K21" s="170"/>
      <c r="L21" s="348" t="str">
        <f>IF(Daten!$A$272=1,E21,IF(Daten!$A$273=1,F21,IF(Daten!$A$274=1,G21,IF(Daten!$A$275=1,Mietstufenzuordnung!H21,"nV"))))</f>
        <v>nV</v>
      </c>
    </row>
    <row r="22" spans="1:12" x14ac:dyDescent="0.25">
      <c r="A22" s="167">
        <v>18</v>
      </c>
      <c r="B22" s="168" t="s">
        <v>30</v>
      </c>
      <c r="C22" s="169" t="s">
        <v>31</v>
      </c>
      <c r="D22" s="169" t="s">
        <v>333</v>
      </c>
      <c r="E22" s="170">
        <v>5</v>
      </c>
      <c r="F22" s="170">
        <v>1</v>
      </c>
      <c r="G22" s="170">
        <v>1</v>
      </c>
      <c r="H22" s="170">
        <v>4</v>
      </c>
      <c r="I22" s="170"/>
      <c r="J22" s="170"/>
      <c r="K22" s="170"/>
      <c r="L22" s="348" t="str">
        <f>IF(Daten!$A$272=1,E22,IF(Daten!$A$273=1,F22,IF(Daten!$A$274=1,G22,IF(Daten!$A$275=1,Mietstufenzuordnung!H22,"nV"))))</f>
        <v>nV</v>
      </c>
    </row>
    <row r="23" spans="1:12" x14ac:dyDescent="0.25">
      <c r="A23" s="167">
        <v>19</v>
      </c>
      <c r="B23" s="168" t="s">
        <v>32</v>
      </c>
      <c r="C23" s="169" t="s">
        <v>33</v>
      </c>
      <c r="D23" s="169" t="s">
        <v>333</v>
      </c>
      <c r="E23" s="170">
        <v>4</v>
      </c>
      <c r="F23" s="170">
        <v>1</v>
      </c>
      <c r="G23" s="170">
        <v>1</v>
      </c>
      <c r="H23" s="170">
        <v>2</v>
      </c>
      <c r="I23" s="170"/>
      <c r="J23" s="170"/>
      <c r="K23" s="170"/>
      <c r="L23" s="348" t="str">
        <f>IF(Daten!$A$272=1,E23,IF(Daten!$A$273=1,F23,IF(Daten!$A$274=1,G23,IF(Daten!$A$275=1,Mietstufenzuordnung!H23,"nV"))))</f>
        <v>nV</v>
      </c>
    </row>
    <row r="24" spans="1:12" x14ac:dyDescent="0.25">
      <c r="A24" s="167">
        <v>20</v>
      </c>
      <c r="B24" s="168" t="s">
        <v>34</v>
      </c>
      <c r="C24" s="169" t="s">
        <v>35</v>
      </c>
      <c r="D24" s="169" t="s">
        <v>333</v>
      </c>
      <c r="E24" s="170">
        <v>5</v>
      </c>
      <c r="F24" s="170">
        <v>1</v>
      </c>
      <c r="G24" s="170">
        <v>1</v>
      </c>
      <c r="H24" s="170">
        <v>4</v>
      </c>
      <c r="I24" s="170"/>
      <c r="J24" s="170"/>
      <c r="K24" s="170"/>
      <c r="L24" s="348" t="str">
        <f>IF(Daten!$A$272=1,E24,IF(Daten!$A$273=1,F24,IF(Daten!$A$274=1,G24,IF(Daten!$A$275=1,Mietstufenzuordnung!H24,"nV"))))</f>
        <v>nV</v>
      </c>
    </row>
    <row r="25" spans="1:12" x14ac:dyDescent="0.25">
      <c r="A25" s="167">
        <v>21</v>
      </c>
      <c r="B25" s="168" t="s">
        <v>36</v>
      </c>
      <c r="C25" s="169" t="s">
        <v>37</v>
      </c>
      <c r="D25" s="169" t="s">
        <v>333</v>
      </c>
      <c r="E25" s="170">
        <v>4</v>
      </c>
      <c r="F25" s="170">
        <v>1</v>
      </c>
      <c r="G25" s="170">
        <v>1</v>
      </c>
      <c r="H25" s="170">
        <v>2</v>
      </c>
      <c r="I25" s="170"/>
      <c r="J25" s="170"/>
      <c r="K25" s="170"/>
      <c r="L25" s="348" t="str">
        <f>IF(Daten!$A$272=1,E25,IF(Daten!$A$273=1,F25,IF(Daten!$A$274=1,G25,IF(Daten!$A$275=1,Mietstufenzuordnung!H25,"nV"))))</f>
        <v>nV</v>
      </c>
    </row>
    <row r="26" spans="1:12" x14ac:dyDescent="0.25">
      <c r="A26" s="167">
        <v>22</v>
      </c>
      <c r="B26" s="168" t="s">
        <v>38</v>
      </c>
      <c r="C26" s="169" t="s">
        <v>39</v>
      </c>
      <c r="D26" s="169" t="s">
        <v>333</v>
      </c>
      <c r="E26" s="170">
        <v>2</v>
      </c>
      <c r="F26" s="170">
        <v>3</v>
      </c>
      <c r="G26" s="170">
        <v>3</v>
      </c>
      <c r="H26" s="170">
        <v>2</v>
      </c>
      <c r="I26" s="170"/>
      <c r="J26" s="170"/>
      <c r="K26" s="170"/>
      <c r="L26" s="348" t="str">
        <f>IF(Daten!$A$272=1,E26,IF(Daten!$A$273=1,F26,IF(Daten!$A$274=1,G26,IF(Daten!$A$275=1,Mietstufenzuordnung!H26,"nV"))))</f>
        <v>nV</v>
      </c>
    </row>
    <row r="27" spans="1:12" x14ac:dyDescent="0.25">
      <c r="A27" s="167">
        <v>23</v>
      </c>
      <c r="B27" s="168" t="s">
        <v>40</v>
      </c>
      <c r="C27" s="169" t="s">
        <v>41</v>
      </c>
      <c r="D27" s="169" t="s">
        <v>333</v>
      </c>
      <c r="E27" s="170">
        <v>3</v>
      </c>
      <c r="F27" s="170">
        <v>1</v>
      </c>
      <c r="G27" s="170">
        <v>1</v>
      </c>
      <c r="H27" s="170">
        <v>3</v>
      </c>
      <c r="I27" s="170"/>
      <c r="J27" s="170"/>
      <c r="K27" s="170"/>
      <c r="L27" s="348" t="str">
        <f>IF(Daten!$A$272=1,E27,IF(Daten!$A$273=1,F27,IF(Daten!$A$274=1,G27,IF(Daten!$A$275=1,Mietstufenzuordnung!H27,"nV"))))</f>
        <v>nV</v>
      </c>
    </row>
    <row r="28" spans="1:12" x14ac:dyDescent="0.25">
      <c r="A28" s="167">
        <v>24</v>
      </c>
      <c r="B28" s="168" t="s">
        <v>42</v>
      </c>
      <c r="C28" s="169" t="s">
        <v>43</v>
      </c>
      <c r="D28" s="169" t="s">
        <v>333</v>
      </c>
      <c r="E28" s="170">
        <v>4</v>
      </c>
      <c r="F28" s="170">
        <v>1</v>
      </c>
      <c r="G28" s="170">
        <v>1</v>
      </c>
      <c r="H28" s="170">
        <v>2</v>
      </c>
      <c r="I28" s="170"/>
      <c r="J28" s="170"/>
      <c r="K28" s="170"/>
      <c r="L28" s="348" t="str">
        <f>IF(Daten!$A$272=1,E28,IF(Daten!$A$273=1,F28,IF(Daten!$A$274=1,G28,IF(Daten!$A$275=1,Mietstufenzuordnung!H28,"nV"))))</f>
        <v>nV</v>
      </c>
    </row>
    <row r="29" spans="1:12" x14ac:dyDescent="0.25">
      <c r="A29" s="167">
        <v>25</v>
      </c>
      <c r="B29" s="168" t="s">
        <v>44</v>
      </c>
      <c r="C29" s="169" t="s">
        <v>45</v>
      </c>
      <c r="D29" s="169" t="s">
        <v>333</v>
      </c>
      <c r="E29" s="170">
        <v>4</v>
      </c>
      <c r="F29" s="170">
        <v>1</v>
      </c>
      <c r="G29" s="170">
        <v>2</v>
      </c>
      <c r="H29" s="170">
        <v>2</v>
      </c>
      <c r="I29" s="170"/>
      <c r="J29" s="170"/>
      <c r="K29" s="170"/>
      <c r="L29" s="348" t="str">
        <f>IF(Daten!$A$272=1,E29,IF(Daten!$A$273=1,F29,IF(Daten!$A$274=1,G29,IF(Daten!$A$275=1,Mietstufenzuordnung!H29,"nV"))))</f>
        <v>nV</v>
      </c>
    </row>
    <row r="30" spans="1:12" x14ac:dyDescent="0.25">
      <c r="A30" s="167">
        <v>26</v>
      </c>
      <c r="B30" s="168" t="s">
        <v>46</v>
      </c>
      <c r="C30" s="169" t="s">
        <v>47</v>
      </c>
      <c r="D30" s="169" t="s">
        <v>333</v>
      </c>
      <c r="E30" s="170">
        <v>5</v>
      </c>
      <c r="F30" s="170">
        <v>1</v>
      </c>
      <c r="G30" s="170">
        <v>1</v>
      </c>
      <c r="H30" s="170">
        <v>4</v>
      </c>
      <c r="I30" s="170"/>
      <c r="J30" s="170"/>
      <c r="K30" s="170"/>
      <c r="L30" s="348" t="str">
        <f>IF(Daten!$A$272=1,E30,IF(Daten!$A$273=1,F30,IF(Daten!$A$274=1,G30,IF(Daten!$A$275=1,Mietstufenzuordnung!H30,"nV"))))</f>
        <v>nV</v>
      </c>
    </row>
    <row r="31" spans="1:12" x14ac:dyDescent="0.25">
      <c r="A31" s="167">
        <v>27</v>
      </c>
      <c r="B31" s="168" t="s">
        <v>48</v>
      </c>
      <c r="C31" s="169" t="s">
        <v>49</v>
      </c>
      <c r="D31" s="169" t="s">
        <v>333</v>
      </c>
      <c r="E31" s="170">
        <v>4</v>
      </c>
      <c r="F31" s="170">
        <v>1</v>
      </c>
      <c r="G31" s="170">
        <v>1</v>
      </c>
      <c r="H31" s="170">
        <v>2</v>
      </c>
      <c r="I31" s="170"/>
      <c r="J31" s="170"/>
      <c r="K31" s="170"/>
      <c r="L31" s="348" t="str">
        <f>IF(Daten!$A$272=1,E31,IF(Daten!$A$273=1,F31,IF(Daten!$A$274=1,G31,IF(Daten!$A$275=1,Mietstufenzuordnung!H31,"nV"))))</f>
        <v>nV</v>
      </c>
    </row>
    <row r="32" spans="1:12" x14ac:dyDescent="0.25">
      <c r="A32" s="167">
        <v>28</v>
      </c>
      <c r="B32" s="168" t="s">
        <v>50</v>
      </c>
      <c r="C32" s="169" t="s">
        <v>51</v>
      </c>
      <c r="D32" s="169" t="s">
        <v>333</v>
      </c>
      <c r="E32" s="170">
        <v>2</v>
      </c>
      <c r="F32" s="170">
        <v>3</v>
      </c>
      <c r="G32" s="170">
        <v>3</v>
      </c>
      <c r="H32" s="170">
        <v>2</v>
      </c>
      <c r="I32" s="170"/>
      <c r="J32" s="170"/>
      <c r="K32" s="170"/>
      <c r="L32" s="348" t="str">
        <f>IF(Daten!$A$272=1,E32,IF(Daten!$A$273=1,F32,IF(Daten!$A$274=1,G32,IF(Daten!$A$275=1,Mietstufenzuordnung!H32,"nV"))))</f>
        <v>nV</v>
      </c>
    </row>
    <row r="33" spans="1:12" x14ac:dyDescent="0.25">
      <c r="A33" s="167">
        <v>29</v>
      </c>
      <c r="B33" s="168" t="s">
        <v>52</v>
      </c>
      <c r="C33" s="169" t="s">
        <v>53</v>
      </c>
      <c r="D33" s="169" t="s">
        <v>333</v>
      </c>
      <c r="E33" s="170">
        <v>4</v>
      </c>
      <c r="F33" s="170">
        <v>1</v>
      </c>
      <c r="G33" s="170">
        <v>1</v>
      </c>
      <c r="H33" s="170">
        <v>2</v>
      </c>
      <c r="I33" s="170"/>
      <c r="J33" s="170"/>
      <c r="K33" s="170"/>
      <c r="L33" s="348" t="str">
        <f>IF(Daten!$A$272=1,E33,IF(Daten!$A$273=1,F33,IF(Daten!$A$274=1,G33,IF(Daten!$A$275=1,Mietstufenzuordnung!H33,"nV"))))</f>
        <v>nV</v>
      </c>
    </row>
    <row r="34" spans="1:12" x14ac:dyDescent="0.25">
      <c r="A34" s="167">
        <v>30</v>
      </c>
      <c r="B34" s="168" t="s">
        <v>54</v>
      </c>
      <c r="C34" s="169" t="s">
        <v>55</v>
      </c>
      <c r="D34" s="169" t="s">
        <v>333</v>
      </c>
      <c r="E34" s="170">
        <v>5</v>
      </c>
      <c r="F34" s="170">
        <v>1</v>
      </c>
      <c r="G34" s="170">
        <v>1</v>
      </c>
      <c r="H34" s="170">
        <v>4</v>
      </c>
      <c r="I34" s="170"/>
      <c r="J34" s="170"/>
      <c r="K34" s="170"/>
      <c r="L34" s="348" t="str">
        <f>IF(Daten!$A$272=1,E34,IF(Daten!$A$273=1,F34,IF(Daten!$A$274=1,G34,IF(Daten!$A$275=1,Mietstufenzuordnung!H34,"nV"))))</f>
        <v>nV</v>
      </c>
    </row>
    <row r="35" spans="1:12" x14ac:dyDescent="0.25">
      <c r="A35" s="167">
        <v>31</v>
      </c>
      <c r="B35" s="168" t="s">
        <v>56</v>
      </c>
      <c r="C35" s="169" t="s">
        <v>57</v>
      </c>
      <c r="D35" s="169" t="s">
        <v>333</v>
      </c>
      <c r="E35" s="170">
        <v>4</v>
      </c>
      <c r="F35" s="170">
        <v>1</v>
      </c>
      <c r="G35" s="170">
        <v>1</v>
      </c>
      <c r="H35" s="170">
        <v>2</v>
      </c>
      <c r="I35" s="170"/>
      <c r="J35" s="170"/>
      <c r="K35" s="170"/>
      <c r="L35" s="348" t="str">
        <f>IF(Daten!$A$272=1,E35,IF(Daten!$A$273=1,F35,IF(Daten!$A$274=1,G35,IF(Daten!$A$275=1,Mietstufenzuordnung!H35,"nV"))))</f>
        <v>nV</v>
      </c>
    </row>
    <row r="36" spans="1:12" x14ac:dyDescent="0.25">
      <c r="A36" s="167">
        <v>32</v>
      </c>
      <c r="B36" s="168" t="s">
        <v>58</v>
      </c>
      <c r="C36" s="169" t="s">
        <v>59</v>
      </c>
      <c r="D36" s="169" t="s">
        <v>333</v>
      </c>
      <c r="E36" s="170">
        <v>4</v>
      </c>
      <c r="F36" s="170">
        <v>1</v>
      </c>
      <c r="G36" s="170">
        <v>1</v>
      </c>
      <c r="H36" s="170">
        <v>2</v>
      </c>
      <c r="I36" s="170"/>
      <c r="J36" s="170"/>
      <c r="K36" s="170"/>
      <c r="L36" s="348" t="str">
        <f>IF(Daten!$A$272=1,E36,IF(Daten!$A$273=1,F36,IF(Daten!$A$274=1,G36,IF(Daten!$A$275=1,Mietstufenzuordnung!H36,"nV"))))</f>
        <v>nV</v>
      </c>
    </row>
    <row r="37" spans="1:12" x14ac:dyDescent="0.25">
      <c r="A37" s="167">
        <v>33</v>
      </c>
      <c r="B37" s="168" t="s">
        <v>60</v>
      </c>
      <c r="C37" s="169" t="s">
        <v>61</v>
      </c>
      <c r="D37" s="169" t="s">
        <v>333</v>
      </c>
      <c r="E37" s="170">
        <v>2</v>
      </c>
      <c r="F37" s="170">
        <v>2</v>
      </c>
      <c r="G37" s="170">
        <v>3</v>
      </c>
      <c r="H37" s="170">
        <v>2</v>
      </c>
      <c r="I37" s="170"/>
      <c r="J37" s="170"/>
      <c r="K37" s="170"/>
      <c r="L37" s="348" t="str">
        <f>IF(Daten!$A$272=1,E37,IF(Daten!$A$273=1,F37,IF(Daten!$A$274=1,G37,IF(Daten!$A$275=1,Mietstufenzuordnung!H37,"nV"))))</f>
        <v>nV</v>
      </c>
    </row>
    <row r="38" spans="1:12" x14ac:dyDescent="0.25">
      <c r="A38" s="167">
        <v>34</v>
      </c>
      <c r="B38" s="168" t="s">
        <v>62</v>
      </c>
      <c r="C38" s="169" t="s">
        <v>63</v>
      </c>
      <c r="D38" s="169" t="s">
        <v>333</v>
      </c>
      <c r="E38" s="170">
        <v>4</v>
      </c>
      <c r="F38" s="170">
        <v>1</v>
      </c>
      <c r="G38" s="170">
        <v>2</v>
      </c>
      <c r="H38" s="170">
        <v>2</v>
      </c>
      <c r="I38" s="170"/>
      <c r="J38" s="170"/>
      <c r="K38" s="170"/>
      <c r="L38" s="348" t="str">
        <f>IF(Daten!$A$272=1,E38,IF(Daten!$A$273=1,F38,IF(Daten!$A$274=1,G38,IF(Daten!$A$275=1,Mietstufenzuordnung!H38,"nV"))))</f>
        <v>nV</v>
      </c>
    </row>
    <row r="39" spans="1:12" x14ac:dyDescent="0.25">
      <c r="A39" s="167">
        <v>35</v>
      </c>
      <c r="B39" s="168" t="s">
        <v>64</v>
      </c>
      <c r="C39" s="169" t="s">
        <v>65</v>
      </c>
      <c r="D39" s="169" t="s">
        <v>333</v>
      </c>
      <c r="E39" s="170">
        <v>4</v>
      </c>
      <c r="F39" s="170">
        <v>1</v>
      </c>
      <c r="G39" s="170">
        <v>1</v>
      </c>
      <c r="H39" s="170">
        <v>2</v>
      </c>
      <c r="I39" s="170"/>
      <c r="J39" s="170"/>
      <c r="K39" s="170"/>
      <c r="L39" s="348" t="str">
        <f>IF(Daten!$A$272=1,E39,IF(Daten!$A$273=1,F39,IF(Daten!$A$274=1,G39,IF(Daten!$A$275=1,Mietstufenzuordnung!H39,"nV"))))</f>
        <v>nV</v>
      </c>
    </row>
    <row r="40" spans="1:12" x14ac:dyDescent="0.25">
      <c r="A40" s="167">
        <v>36</v>
      </c>
      <c r="B40" s="168" t="s">
        <v>66</v>
      </c>
      <c r="C40" s="169" t="s">
        <v>67</v>
      </c>
      <c r="D40" s="169" t="s">
        <v>333</v>
      </c>
      <c r="E40" s="170">
        <v>2</v>
      </c>
      <c r="F40" s="170">
        <v>2</v>
      </c>
      <c r="G40" s="170">
        <v>3</v>
      </c>
      <c r="H40" s="170">
        <v>2</v>
      </c>
      <c r="I40" s="170"/>
      <c r="J40" s="170"/>
      <c r="K40" s="170"/>
      <c r="L40" s="348" t="str">
        <f>IF(Daten!$A$272=1,E40,IF(Daten!$A$273=1,F40,IF(Daten!$A$274=1,G40,IF(Daten!$A$275=1,Mietstufenzuordnung!H40,"nV"))))</f>
        <v>nV</v>
      </c>
    </row>
    <row r="41" spans="1:12" x14ac:dyDescent="0.25">
      <c r="A41" s="167">
        <v>37</v>
      </c>
      <c r="B41" s="168" t="s">
        <v>68</v>
      </c>
      <c r="C41" s="169" t="s">
        <v>69</v>
      </c>
      <c r="D41" s="169" t="s">
        <v>333</v>
      </c>
      <c r="E41" s="170">
        <v>4</v>
      </c>
      <c r="F41" s="170">
        <v>1</v>
      </c>
      <c r="G41" s="170">
        <v>1</v>
      </c>
      <c r="H41" s="170">
        <v>2</v>
      </c>
      <c r="I41" s="170"/>
      <c r="J41" s="170"/>
      <c r="K41" s="170"/>
      <c r="L41" s="348" t="str">
        <f>IF(Daten!$A$272=1,E41,IF(Daten!$A$273=1,F41,IF(Daten!$A$274=1,G41,IF(Daten!$A$275=1,Mietstufenzuordnung!H41,"nV"))))</f>
        <v>nV</v>
      </c>
    </row>
    <row r="42" spans="1:12" x14ac:dyDescent="0.25">
      <c r="A42" s="167">
        <v>38</v>
      </c>
      <c r="B42" s="168" t="s">
        <v>70</v>
      </c>
      <c r="C42" s="169" t="s">
        <v>71</v>
      </c>
      <c r="D42" s="169" t="s">
        <v>333</v>
      </c>
      <c r="E42" s="170">
        <v>3</v>
      </c>
      <c r="F42" s="170">
        <v>1</v>
      </c>
      <c r="G42" s="170">
        <v>1</v>
      </c>
      <c r="H42" s="170">
        <v>3</v>
      </c>
      <c r="I42" s="170"/>
      <c r="J42" s="170"/>
      <c r="K42" s="170"/>
      <c r="L42" s="348" t="str">
        <f>IF(Daten!$A$272=1,E42,IF(Daten!$A$273=1,F42,IF(Daten!$A$274=1,G42,IF(Daten!$A$275=1,Mietstufenzuordnung!H42,"nV"))))</f>
        <v>nV</v>
      </c>
    </row>
    <row r="43" spans="1:12" x14ac:dyDescent="0.25">
      <c r="A43" s="167">
        <v>39</v>
      </c>
      <c r="B43" s="168" t="s">
        <v>72</v>
      </c>
      <c r="C43" s="169" t="s">
        <v>73</v>
      </c>
      <c r="D43" s="169" t="s">
        <v>333</v>
      </c>
      <c r="E43" s="170">
        <v>5</v>
      </c>
      <c r="F43" s="170">
        <v>1</v>
      </c>
      <c r="G43" s="170">
        <v>1</v>
      </c>
      <c r="H43" s="170">
        <v>4</v>
      </c>
      <c r="I43" s="170"/>
      <c r="J43" s="170"/>
      <c r="K43" s="170"/>
      <c r="L43" s="348" t="str">
        <f>IF(Daten!$A$272=1,E43,IF(Daten!$A$273=1,F43,IF(Daten!$A$274=1,G43,IF(Daten!$A$275=1,Mietstufenzuordnung!H43,"nV"))))</f>
        <v>nV</v>
      </c>
    </row>
    <row r="44" spans="1:12" x14ac:dyDescent="0.25">
      <c r="A44" s="167">
        <v>40</v>
      </c>
      <c r="B44" s="168" t="s">
        <v>74</v>
      </c>
      <c r="C44" s="169" t="s">
        <v>75</v>
      </c>
      <c r="D44" s="169" t="s">
        <v>333</v>
      </c>
      <c r="E44" s="170">
        <v>4</v>
      </c>
      <c r="F44" s="170">
        <v>1</v>
      </c>
      <c r="G44" s="170">
        <v>1</v>
      </c>
      <c r="H44" s="170">
        <v>2</v>
      </c>
      <c r="I44" s="170"/>
      <c r="J44" s="170"/>
      <c r="K44" s="170"/>
      <c r="L44" s="348" t="str">
        <f>IF(Daten!$A$272=1,E44,IF(Daten!$A$273=1,F44,IF(Daten!$A$274=1,G44,IF(Daten!$A$275=1,Mietstufenzuordnung!H44,"nV"))))</f>
        <v>nV</v>
      </c>
    </row>
    <row r="45" spans="1:12" x14ac:dyDescent="0.25">
      <c r="A45" s="167">
        <v>41</v>
      </c>
      <c r="B45" s="168" t="s">
        <v>76</v>
      </c>
      <c r="C45" s="169" t="s">
        <v>77</v>
      </c>
      <c r="D45" s="169" t="s">
        <v>333</v>
      </c>
      <c r="E45" s="170">
        <v>4</v>
      </c>
      <c r="F45" s="170">
        <v>1</v>
      </c>
      <c r="G45" s="170">
        <v>1</v>
      </c>
      <c r="H45" s="170">
        <v>2</v>
      </c>
      <c r="I45" s="170"/>
      <c r="J45" s="170"/>
      <c r="K45" s="170"/>
      <c r="L45" s="348" t="str">
        <f>IF(Daten!$A$272=1,E45,IF(Daten!$A$273=1,F45,IF(Daten!$A$274=1,G45,IF(Daten!$A$275=1,Mietstufenzuordnung!H45,"nV"))))</f>
        <v>nV</v>
      </c>
    </row>
    <row r="46" spans="1:12" x14ac:dyDescent="0.25">
      <c r="A46" s="167">
        <v>42</v>
      </c>
      <c r="B46" s="168" t="s">
        <v>78</v>
      </c>
      <c r="C46" s="169" t="s">
        <v>79</v>
      </c>
      <c r="D46" s="169" t="s">
        <v>333</v>
      </c>
      <c r="E46" s="170">
        <v>4</v>
      </c>
      <c r="F46" s="170">
        <v>1</v>
      </c>
      <c r="G46" s="170">
        <v>2</v>
      </c>
      <c r="H46" s="170">
        <v>2</v>
      </c>
      <c r="I46" s="170"/>
      <c r="J46" s="170"/>
      <c r="K46" s="170"/>
      <c r="L46" s="348" t="str">
        <f>IF(Daten!$A$272=1,E46,IF(Daten!$A$273=1,F46,IF(Daten!$A$274=1,G46,IF(Daten!$A$275=1,Mietstufenzuordnung!H46,"nV"))))</f>
        <v>nV</v>
      </c>
    </row>
    <row r="47" spans="1:12" x14ac:dyDescent="0.25">
      <c r="A47" s="167">
        <v>43</v>
      </c>
      <c r="B47" s="168" t="s">
        <v>80</v>
      </c>
      <c r="C47" s="169" t="s">
        <v>81</v>
      </c>
      <c r="D47" s="169" t="s">
        <v>333</v>
      </c>
      <c r="E47" s="170">
        <v>5</v>
      </c>
      <c r="F47" s="170">
        <v>1</v>
      </c>
      <c r="G47" s="170">
        <v>1</v>
      </c>
      <c r="H47" s="170">
        <v>4</v>
      </c>
      <c r="I47" s="170"/>
      <c r="J47" s="170"/>
      <c r="K47" s="170"/>
      <c r="L47" s="348" t="str">
        <f>IF(Daten!$A$272=1,E47,IF(Daten!$A$273=1,F47,IF(Daten!$A$274=1,G47,IF(Daten!$A$275=1,Mietstufenzuordnung!H47,"nV"))))</f>
        <v>nV</v>
      </c>
    </row>
    <row r="48" spans="1:12" x14ac:dyDescent="0.25">
      <c r="A48" s="167">
        <v>44</v>
      </c>
      <c r="B48" s="168" t="s">
        <v>82</v>
      </c>
      <c r="C48" s="169" t="s">
        <v>83</v>
      </c>
      <c r="D48" s="169" t="s">
        <v>333</v>
      </c>
      <c r="E48" s="170">
        <v>4</v>
      </c>
      <c r="F48" s="170">
        <v>1</v>
      </c>
      <c r="G48" s="170">
        <v>1</v>
      </c>
      <c r="H48" s="170">
        <v>2</v>
      </c>
      <c r="I48" s="170"/>
      <c r="J48" s="170"/>
      <c r="K48" s="170"/>
      <c r="L48" s="348" t="str">
        <f>IF(Daten!$A$272=1,E48,IF(Daten!$A$273=1,F48,IF(Daten!$A$274=1,G48,IF(Daten!$A$275=1,Mietstufenzuordnung!H48,"nV"))))</f>
        <v>nV</v>
      </c>
    </row>
    <row r="49" spans="1:12" x14ac:dyDescent="0.25">
      <c r="A49" s="167">
        <v>45</v>
      </c>
      <c r="B49" s="168" t="s">
        <v>84</v>
      </c>
      <c r="C49" s="169" t="s">
        <v>85</v>
      </c>
      <c r="D49" s="169" t="s">
        <v>333</v>
      </c>
      <c r="E49" s="170">
        <v>5</v>
      </c>
      <c r="F49" s="170">
        <v>1</v>
      </c>
      <c r="G49" s="170">
        <v>1</v>
      </c>
      <c r="H49" s="170">
        <v>4</v>
      </c>
      <c r="I49" s="170"/>
      <c r="J49" s="170"/>
      <c r="K49" s="170"/>
      <c r="L49" s="348" t="str">
        <f>IF(Daten!$A$272=1,E49,IF(Daten!$A$273=1,F49,IF(Daten!$A$274=1,G49,IF(Daten!$A$275=1,Mietstufenzuordnung!H49,"nV"))))</f>
        <v>nV</v>
      </c>
    </row>
    <row r="50" spans="1:12" x14ac:dyDescent="0.25">
      <c r="A50" s="167">
        <v>46</v>
      </c>
      <c r="B50" s="168" t="s">
        <v>86</v>
      </c>
      <c r="C50" s="169" t="s">
        <v>87</v>
      </c>
      <c r="D50" s="169" t="s">
        <v>333</v>
      </c>
      <c r="E50" s="170">
        <v>5</v>
      </c>
      <c r="F50" s="170">
        <v>1</v>
      </c>
      <c r="G50" s="170">
        <v>1</v>
      </c>
      <c r="H50" s="170">
        <v>4</v>
      </c>
      <c r="I50" s="170"/>
      <c r="J50" s="170"/>
      <c r="K50" s="170"/>
      <c r="L50" s="348" t="str">
        <f>IF(Daten!$A$272=1,E50,IF(Daten!$A$273=1,F50,IF(Daten!$A$274=1,G50,IF(Daten!$A$275=1,Mietstufenzuordnung!H50,"nV"))))</f>
        <v>nV</v>
      </c>
    </row>
    <row r="51" spans="1:12" x14ac:dyDescent="0.25">
      <c r="A51" s="167">
        <v>47</v>
      </c>
      <c r="B51" s="168" t="s">
        <v>88</v>
      </c>
      <c r="C51" s="169" t="s">
        <v>89</v>
      </c>
      <c r="D51" s="169" t="s">
        <v>333</v>
      </c>
      <c r="E51" s="170">
        <v>5</v>
      </c>
      <c r="F51" s="170">
        <v>1</v>
      </c>
      <c r="G51" s="170">
        <v>1</v>
      </c>
      <c r="H51" s="170">
        <v>4</v>
      </c>
      <c r="I51" s="170"/>
      <c r="J51" s="170"/>
      <c r="K51" s="170"/>
      <c r="L51" s="348" t="str">
        <f>IF(Daten!$A$272=1,E51,IF(Daten!$A$273=1,F51,IF(Daten!$A$274=1,G51,IF(Daten!$A$275=1,Mietstufenzuordnung!H51,"nV"))))</f>
        <v>nV</v>
      </c>
    </row>
    <row r="52" spans="1:12" x14ac:dyDescent="0.25">
      <c r="A52" s="167">
        <v>48</v>
      </c>
      <c r="B52" s="168" t="s">
        <v>90</v>
      </c>
      <c r="C52" s="169" t="s">
        <v>91</v>
      </c>
      <c r="D52" s="169" t="s">
        <v>333</v>
      </c>
      <c r="E52" s="170">
        <v>3</v>
      </c>
      <c r="F52" s="170">
        <v>1</v>
      </c>
      <c r="G52" s="170">
        <v>1</v>
      </c>
      <c r="H52" s="170">
        <v>3</v>
      </c>
      <c r="I52" s="170"/>
      <c r="J52" s="170"/>
      <c r="K52" s="170"/>
      <c r="L52" s="348" t="str">
        <f>IF(Daten!$A$272=1,E52,IF(Daten!$A$273=1,F52,IF(Daten!$A$274=1,G52,IF(Daten!$A$275=1,Mietstufenzuordnung!H52,"nV"))))</f>
        <v>nV</v>
      </c>
    </row>
    <row r="53" spans="1:12" x14ac:dyDescent="0.25">
      <c r="A53" s="167">
        <v>49</v>
      </c>
      <c r="B53" s="168" t="s">
        <v>92</v>
      </c>
      <c r="C53" s="169" t="s">
        <v>93</v>
      </c>
      <c r="D53" s="169" t="s">
        <v>333</v>
      </c>
      <c r="E53" s="170">
        <v>4</v>
      </c>
      <c r="F53" s="170">
        <v>1</v>
      </c>
      <c r="G53" s="170">
        <v>1</v>
      </c>
      <c r="H53" s="170">
        <v>2</v>
      </c>
      <c r="I53" s="170"/>
      <c r="J53" s="170"/>
      <c r="K53" s="170"/>
      <c r="L53" s="348" t="str">
        <f>IF(Daten!$A$272=1,E53,IF(Daten!$A$273=1,F53,IF(Daten!$A$274=1,G53,IF(Daten!$A$275=1,Mietstufenzuordnung!H53,"nV"))))</f>
        <v>nV</v>
      </c>
    </row>
    <row r="54" spans="1:12" x14ac:dyDescent="0.25">
      <c r="A54" s="167">
        <v>50</v>
      </c>
      <c r="B54" s="168" t="s">
        <v>94</v>
      </c>
      <c r="C54" s="169" t="s">
        <v>95</v>
      </c>
      <c r="D54" s="169" t="s">
        <v>333</v>
      </c>
      <c r="E54" s="170">
        <v>4</v>
      </c>
      <c r="F54" s="170">
        <v>1</v>
      </c>
      <c r="G54" s="170">
        <v>2</v>
      </c>
      <c r="H54" s="170">
        <v>2</v>
      </c>
      <c r="I54" s="170"/>
      <c r="J54" s="170"/>
      <c r="K54" s="170"/>
      <c r="L54" s="348" t="str">
        <f>IF(Daten!$A$272=1,E54,IF(Daten!$A$273=1,F54,IF(Daten!$A$274=1,G54,IF(Daten!$A$275=1,Mietstufenzuordnung!H54,"nV"))))</f>
        <v>nV</v>
      </c>
    </row>
    <row r="55" spans="1:12" x14ac:dyDescent="0.25">
      <c r="A55" s="167">
        <v>51</v>
      </c>
      <c r="B55" s="168" t="s">
        <v>96</v>
      </c>
      <c r="C55" s="169" t="s">
        <v>97</v>
      </c>
      <c r="D55" s="169" t="s">
        <v>333</v>
      </c>
      <c r="E55" s="170">
        <v>4</v>
      </c>
      <c r="F55" s="170">
        <v>1</v>
      </c>
      <c r="G55" s="170">
        <v>1</v>
      </c>
      <c r="H55" s="170">
        <v>2</v>
      </c>
      <c r="I55" s="170"/>
      <c r="J55" s="170"/>
      <c r="K55" s="170"/>
      <c r="L55" s="348" t="str">
        <f>IF(Daten!$A$272=1,E55,IF(Daten!$A$273=1,F55,IF(Daten!$A$274=1,G55,IF(Daten!$A$275=1,Mietstufenzuordnung!H55,"nV"))))</f>
        <v>nV</v>
      </c>
    </row>
    <row r="56" spans="1:12" x14ac:dyDescent="0.25">
      <c r="A56" s="167">
        <v>52</v>
      </c>
      <c r="B56" s="168" t="s">
        <v>98</v>
      </c>
      <c r="C56" s="169" t="s">
        <v>99</v>
      </c>
      <c r="D56" s="169" t="s">
        <v>333</v>
      </c>
      <c r="E56" s="170">
        <v>3</v>
      </c>
      <c r="F56" s="170">
        <v>1</v>
      </c>
      <c r="G56" s="170">
        <v>1</v>
      </c>
      <c r="H56" s="170">
        <v>3</v>
      </c>
      <c r="I56" s="170"/>
      <c r="J56" s="170"/>
      <c r="K56" s="170"/>
      <c r="L56" s="348" t="str">
        <f>IF(Daten!$A$272=1,E56,IF(Daten!$A$273=1,F56,IF(Daten!$A$274=1,G56,IF(Daten!$A$275=1,Mietstufenzuordnung!H56,"nV"))))</f>
        <v>nV</v>
      </c>
    </row>
    <row r="57" spans="1:12" x14ac:dyDescent="0.25">
      <c r="A57" s="167">
        <v>53</v>
      </c>
      <c r="B57" s="168" t="s">
        <v>100</v>
      </c>
      <c r="C57" s="169" t="s">
        <v>101</v>
      </c>
      <c r="D57" s="169" t="s">
        <v>333</v>
      </c>
      <c r="E57" s="170">
        <v>2</v>
      </c>
      <c r="F57" s="170">
        <v>2</v>
      </c>
      <c r="G57" s="170">
        <v>3</v>
      </c>
      <c r="H57" s="170">
        <v>2</v>
      </c>
      <c r="I57" s="170"/>
      <c r="J57" s="170"/>
      <c r="K57" s="170"/>
      <c r="L57" s="348" t="str">
        <f>IF(Daten!$A$272=1,E57,IF(Daten!$A$273=1,F57,IF(Daten!$A$274=1,G57,IF(Daten!$A$275=1,Mietstufenzuordnung!H57,"nV"))))</f>
        <v>nV</v>
      </c>
    </row>
    <row r="58" spans="1:12" x14ac:dyDescent="0.25">
      <c r="A58" s="167">
        <v>54</v>
      </c>
      <c r="B58" s="168" t="s">
        <v>102</v>
      </c>
      <c r="C58" s="169" t="s">
        <v>103</v>
      </c>
      <c r="D58" s="169" t="s">
        <v>333</v>
      </c>
      <c r="E58" s="170">
        <v>3</v>
      </c>
      <c r="F58" s="170">
        <v>1</v>
      </c>
      <c r="G58" s="170">
        <v>1</v>
      </c>
      <c r="H58" s="170">
        <v>3</v>
      </c>
      <c r="I58" s="170"/>
      <c r="J58" s="170"/>
      <c r="K58" s="170"/>
      <c r="L58" s="348" t="str">
        <f>IF(Daten!$A$272=1,E58,IF(Daten!$A$273=1,F58,IF(Daten!$A$274=1,G58,IF(Daten!$A$275=1,Mietstufenzuordnung!H58,"nV"))))</f>
        <v>nV</v>
      </c>
    </row>
    <row r="59" spans="1:12" x14ac:dyDescent="0.25">
      <c r="A59" s="167">
        <v>55</v>
      </c>
      <c r="B59" s="168" t="s">
        <v>104</v>
      </c>
      <c r="C59" s="169" t="s">
        <v>105</v>
      </c>
      <c r="D59" s="169" t="s">
        <v>333</v>
      </c>
      <c r="E59" s="170">
        <v>3</v>
      </c>
      <c r="F59" s="170">
        <v>1</v>
      </c>
      <c r="G59" s="170">
        <v>1</v>
      </c>
      <c r="H59" s="170">
        <v>3</v>
      </c>
      <c r="I59" s="170"/>
      <c r="J59" s="170"/>
      <c r="K59" s="170"/>
      <c r="L59" s="348" t="str">
        <f>IF(Daten!$A$272=1,E59,IF(Daten!$A$273=1,F59,IF(Daten!$A$274=1,G59,IF(Daten!$A$275=1,Mietstufenzuordnung!H59,"nV"))))</f>
        <v>nV</v>
      </c>
    </row>
    <row r="60" spans="1:12" x14ac:dyDescent="0.25">
      <c r="A60" s="167">
        <v>56</v>
      </c>
      <c r="B60" s="168" t="s">
        <v>106</v>
      </c>
      <c r="C60" s="169" t="s">
        <v>107</v>
      </c>
      <c r="D60" s="169" t="s">
        <v>333</v>
      </c>
      <c r="E60" s="170">
        <v>5</v>
      </c>
      <c r="F60" s="170">
        <v>1</v>
      </c>
      <c r="G60" s="170">
        <v>1</v>
      </c>
      <c r="H60" s="170">
        <v>4</v>
      </c>
      <c r="I60" s="170"/>
      <c r="J60" s="170"/>
      <c r="K60" s="170"/>
      <c r="L60" s="348" t="str">
        <f>IF(Daten!$A$272=1,E60,IF(Daten!$A$273=1,F60,IF(Daten!$A$274=1,G60,IF(Daten!$A$275=1,Mietstufenzuordnung!H60,"nV"))))</f>
        <v>nV</v>
      </c>
    </row>
    <row r="61" spans="1:12" x14ac:dyDescent="0.25">
      <c r="A61" s="167">
        <v>57</v>
      </c>
      <c r="B61" s="168" t="s">
        <v>108</v>
      </c>
      <c r="C61" s="169" t="s">
        <v>109</v>
      </c>
      <c r="D61" s="169" t="s">
        <v>333</v>
      </c>
      <c r="E61" s="170">
        <v>4</v>
      </c>
      <c r="F61" s="170">
        <v>1</v>
      </c>
      <c r="G61" s="170">
        <v>1</v>
      </c>
      <c r="H61" s="170">
        <v>2</v>
      </c>
      <c r="I61" s="170"/>
      <c r="J61" s="170"/>
      <c r="K61" s="170"/>
      <c r="L61" s="348" t="str">
        <f>IF(Daten!$A$272=1,E61,IF(Daten!$A$273=1,F61,IF(Daten!$A$274=1,G61,IF(Daten!$A$275=1,Mietstufenzuordnung!H61,"nV"))))</f>
        <v>nV</v>
      </c>
    </row>
    <row r="62" spans="1:12" x14ac:dyDescent="0.25">
      <c r="A62" s="167">
        <v>58</v>
      </c>
      <c r="B62" s="168" t="s">
        <v>110</v>
      </c>
      <c r="C62" s="169" t="s">
        <v>111</v>
      </c>
      <c r="D62" s="169" t="s">
        <v>333</v>
      </c>
      <c r="E62" s="170">
        <v>4</v>
      </c>
      <c r="F62" s="170">
        <v>1</v>
      </c>
      <c r="G62" s="170">
        <v>1</v>
      </c>
      <c r="H62" s="170">
        <v>2</v>
      </c>
      <c r="I62" s="170"/>
      <c r="J62" s="170"/>
      <c r="K62" s="170"/>
      <c r="L62" s="348" t="str">
        <f>IF(Daten!$A$272=1,E62,IF(Daten!$A$273=1,F62,IF(Daten!$A$274=1,G62,IF(Daten!$A$275=1,Mietstufenzuordnung!H62,"nV"))))</f>
        <v>nV</v>
      </c>
    </row>
    <row r="63" spans="1:12" x14ac:dyDescent="0.25">
      <c r="A63" s="167">
        <v>59</v>
      </c>
      <c r="B63" s="168" t="s">
        <v>112</v>
      </c>
      <c r="C63" s="169" t="s">
        <v>113</v>
      </c>
      <c r="D63" s="169" t="s">
        <v>333</v>
      </c>
      <c r="E63" s="170">
        <v>5</v>
      </c>
      <c r="F63" s="170">
        <v>1</v>
      </c>
      <c r="G63" s="170">
        <v>1</v>
      </c>
      <c r="H63" s="170">
        <v>4</v>
      </c>
      <c r="I63" s="170"/>
      <c r="J63" s="170"/>
      <c r="K63" s="170"/>
      <c r="L63" s="348" t="str">
        <f>IF(Daten!$A$272=1,E63,IF(Daten!$A$273=1,F63,IF(Daten!$A$274=1,G63,IF(Daten!$A$275=1,Mietstufenzuordnung!H63,"nV"))))</f>
        <v>nV</v>
      </c>
    </row>
    <row r="64" spans="1:12" x14ac:dyDescent="0.25">
      <c r="A64" s="167">
        <v>60</v>
      </c>
      <c r="B64" s="168" t="s">
        <v>114</v>
      </c>
      <c r="C64" s="169" t="s">
        <v>115</v>
      </c>
      <c r="D64" s="169" t="s">
        <v>333</v>
      </c>
      <c r="E64" s="170">
        <v>4</v>
      </c>
      <c r="F64" s="170">
        <v>1</v>
      </c>
      <c r="G64" s="170">
        <v>1</v>
      </c>
      <c r="H64" s="170">
        <v>2</v>
      </c>
      <c r="I64" s="170"/>
      <c r="J64" s="170"/>
      <c r="K64" s="170"/>
      <c r="L64" s="348" t="str">
        <f>IF(Daten!$A$272=1,E64,IF(Daten!$A$273=1,F64,IF(Daten!$A$274=1,G64,IF(Daten!$A$275=1,Mietstufenzuordnung!H64,"nV"))))</f>
        <v>nV</v>
      </c>
    </row>
    <row r="65" spans="1:12" x14ac:dyDescent="0.25">
      <c r="A65" s="167">
        <v>61</v>
      </c>
      <c r="B65" s="168" t="s">
        <v>116</v>
      </c>
      <c r="C65" s="169" t="s">
        <v>117</v>
      </c>
      <c r="D65" s="169" t="s">
        <v>333</v>
      </c>
      <c r="E65" s="170">
        <v>4</v>
      </c>
      <c r="F65" s="170">
        <v>1</v>
      </c>
      <c r="G65" s="170">
        <v>1</v>
      </c>
      <c r="H65" s="170">
        <v>2</v>
      </c>
      <c r="I65" s="170"/>
      <c r="J65" s="170"/>
      <c r="K65" s="170"/>
      <c r="L65" s="348" t="str">
        <f>IF(Daten!$A$272=1,E65,IF(Daten!$A$273=1,F65,IF(Daten!$A$274=1,G65,IF(Daten!$A$275=1,Mietstufenzuordnung!H65,"nV"))))</f>
        <v>nV</v>
      </c>
    </row>
    <row r="66" spans="1:12" x14ac:dyDescent="0.25">
      <c r="A66" s="167">
        <v>62</v>
      </c>
      <c r="B66" s="168" t="s">
        <v>118</v>
      </c>
      <c r="C66" s="169" t="s">
        <v>119</v>
      </c>
      <c r="D66" s="169" t="s">
        <v>333</v>
      </c>
      <c r="E66" s="170">
        <v>4</v>
      </c>
      <c r="F66" s="170">
        <v>1</v>
      </c>
      <c r="G66" s="170">
        <v>1</v>
      </c>
      <c r="H66" s="170">
        <v>2</v>
      </c>
      <c r="I66" s="170"/>
      <c r="J66" s="170"/>
      <c r="K66" s="170"/>
      <c r="L66" s="348" t="str">
        <f>IF(Daten!$A$272=1,E66,IF(Daten!$A$273=1,F66,IF(Daten!$A$274=1,G66,IF(Daten!$A$275=1,Mietstufenzuordnung!H66,"nV"))))</f>
        <v>nV</v>
      </c>
    </row>
    <row r="67" spans="1:12" x14ac:dyDescent="0.25">
      <c r="A67" s="167">
        <v>63</v>
      </c>
      <c r="B67" s="168" t="s">
        <v>120</v>
      </c>
      <c r="C67" s="169" t="s">
        <v>121</v>
      </c>
      <c r="D67" s="169" t="s">
        <v>333</v>
      </c>
      <c r="E67" s="170">
        <v>4</v>
      </c>
      <c r="F67" s="170">
        <v>1</v>
      </c>
      <c r="G67" s="170">
        <v>1</v>
      </c>
      <c r="H67" s="170">
        <v>2</v>
      </c>
      <c r="I67" s="170"/>
      <c r="J67" s="170"/>
      <c r="K67" s="170"/>
      <c r="L67" s="348" t="str">
        <f>IF(Daten!$A$272=1,E67,IF(Daten!$A$273=1,F67,IF(Daten!$A$274=1,G67,IF(Daten!$A$275=1,Mietstufenzuordnung!H67,"nV"))))</f>
        <v>nV</v>
      </c>
    </row>
    <row r="68" spans="1:12" x14ac:dyDescent="0.25">
      <c r="A68" s="167">
        <v>64</v>
      </c>
      <c r="B68" s="168" t="s">
        <v>122</v>
      </c>
      <c r="C68" s="169" t="s">
        <v>123</v>
      </c>
      <c r="D68" s="169" t="s">
        <v>333</v>
      </c>
      <c r="E68" s="170">
        <v>4</v>
      </c>
      <c r="F68" s="170">
        <v>1</v>
      </c>
      <c r="G68" s="170">
        <v>2</v>
      </c>
      <c r="H68" s="170">
        <v>2</v>
      </c>
      <c r="I68" s="170"/>
      <c r="J68" s="170"/>
      <c r="K68" s="170"/>
      <c r="L68" s="348" t="str">
        <f>IF(Daten!$A$272=1,E68,IF(Daten!$A$273=1,F68,IF(Daten!$A$274=1,G68,IF(Daten!$A$275=1,Mietstufenzuordnung!H68,"nV"))))</f>
        <v>nV</v>
      </c>
    </row>
    <row r="69" spans="1:12" x14ac:dyDescent="0.25">
      <c r="A69" s="167">
        <v>65</v>
      </c>
      <c r="B69" s="168" t="s">
        <v>124</v>
      </c>
      <c r="C69" s="169" t="s">
        <v>125</v>
      </c>
      <c r="D69" s="169" t="s">
        <v>333</v>
      </c>
      <c r="E69" s="170">
        <v>2</v>
      </c>
      <c r="F69" s="170">
        <v>3</v>
      </c>
      <c r="G69" s="170">
        <v>3</v>
      </c>
      <c r="H69" s="170">
        <v>2</v>
      </c>
      <c r="I69" s="170"/>
      <c r="J69" s="170"/>
      <c r="K69" s="170"/>
      <c r="L69" s="348" t="str">
        <f>IF(Daten!$A$272=1,E69,IF(Daten!$A$273=1,F69,IF(Daten!$A$274=1,G69,IF(Daten!$A$275=1,Mietstufenzuordnung!H69,"nV"))))</f>
        <v>nV</v>
      </c>
    </row>
    <row r="70" spans="1:12" x14ac:dyDescent="0.25">
      <c r="A70" s="167">
        <v>66</v>
      </c>
      <c r="B70" s="168" t="s">
        <v>126</v>
      </c>
      <c r="C70" s="169" t="s">
        <v>127</v>
      </c>
      <c r="D70" s="169" t="s">
        <v>333</v>
      </c>
      <c r="E70" s="170">
        <v>5</v>
      </c>
      <c r="F70" s="170">
        <v>1</v>
      </c>
      <c r="G70" s="170">
        <v>1</v>
      </c>
      <c r="H70" s="170">
        <v>4</v>
      </c>
      <c r="I70" s="170"/>
      <c r="J70" s="170"/>
      <c r="K70" s="170"/>
      <c r="L70" s="348" t="str">
        <f>IF(Daten!$A$272=1,E70,IF(Daten!$A$273=1,F70,IF(Daten!$A$274=1,G70,IF(Daten!$A$275=1,Mietstufenzuordnung!H70,"nV"))))</f>
        <v>nV</v>
      </c>
    </row>
    <row r="71" spans="1:12" x14ac:dyDescent="0.25">
      <c r="A71" s="167">
        <v>67</v>
      </c>
      <c r="B71" s="168" t="s">
        <v>128</v>
      </c>
      <c r="C71" s="169" t="s">
        <v>129</v>
      </c>
      <c r="D71" s="169" t="s">
        <v>333</v>
      </c>
      <c r="E71" s="170">
        <v>4</v>
      </c>
      <c r="F71" s="170">
        <v>1</v>
      </c>
      <c r="G71" s="170">
        <v>1</v>
      </c>
      <c r="H71" s="170">
        <v>2</v>
      </c>
      <c r="I71" s="170"/>
      <c r="J71" s="170"/>
      <c r="K71" s="170"/>
      <c r="L71" s="348" t="str">
        <f>IF(Daten!$A$272=1,E71,IF(Daten!$A$273=1,F71,IF(Daten!$A$274=1,G71,IF(Daten!$A$275=1,Mietstufenzuordnung!H71,"nV"))))</f>
        <v>nV</v>
      </c>
    </row>
    <row r="72" spans="1:12" x14ac:dyDescent="0.25">
      <c r="A72" s="167">
        <v>68</v>
      </c>
      <c r="B72" s="168" t="s">
        <v>130</v>
      </c>
      <c r="C72" s="169" t="s">
        <v>131</v>
      </c>
      <c r="D72" s="169" t="s">
        <v>333</v>
      </c>
      <c r="E72" s="170">
        <v>3</v>
      </c>
      <c r="F72" s="170">
        <v>1</v>
      </c>
      <c r="G72" s="170">
        <v>1</v>
      </c>
      <c r="H72" s="170">
        <v>3</v>
      </c>
      <c r="I72" s="170"/>
      <c r="J72" s="170"/>
      <c r="K72" s="170"/>
      <c r="L72" s="348" t="str">
        <f>IF(Daten!$A$272=1,E72,IF(Daten!$A$273=1,F72,IF(Daten!$A$274=1,G72,IF(Daten!$A$275=1,Mietstufenzuordnung!H72,"nV"))))</f>
        <v>nV</v>
      </c>
    </row>
    <row r="73" spans="1:12" x14ac:dyDescent="0.25">
      <c r="A73" s="167">
        <v>69</v>
      </c>
      <c r="B73" s="168" t="s">
        <v>132</v>
      </c>
      <c r="C73" s="169" t="s">
        <v>133</v>
      </c>
      <c r="D73" s="169" t="s">
        <v>333</v>
      </c>
      <c r="E73" s="170">
        <v>5</v>
      </c>
      <c r="F73" s="170">
        <v>1</v>
      </c>
      <c r="G73" s="170">
        <v>1</v>
      </c>
      <c r="H73" s="170">
        <v>4</v>
      </c>
      <c r="I73" s="170"/>
      <c r="J73" s="170"/>
      <c r="K73" s="170"/>
      <c r="L73" s="348" t="str">
        <f>IF(Daten!$A$272=1,E73,IF(Daten!$A$273=1,F73,IF(Daten!$A$274=1,G73,IF(Daten!$A$275=1,Mietstufenzuordnung!H73,"nV"))))</f>
        <v>nV</v>
      </c>
    </row>
    <row r="74" spans="1:12" x14ac:dyDescent="0.25">
      <c r="A74" s="167">
        <v>70</v>
      </c>
      <c r="B74" s="168" t="s">
        <v>134</v>
      </c>
      <c r="C74" s="169" t="s">
        <v>135</v>
      </c>
      <c r="D74" s="169" t="s">
        <v>333</v>
      </c>
      <c r="E74" s="170">
        <v>3</v>
      </c>
      <c r="F74" s="170">
        <v>1</v>
      </c>
      <c r="G74" s="170">
        <v>1</v>
      </c>
      <c r="H74" s="170">
        <v>3</v>
      </c>
      <c r="I74" s="170"/>
      <c r="J74" s="170"/>
      <c r="K74" s="170"/>
      <c r="L74" s="348" t="str">
        <f>IF(Daten!$A$272=1,E74,IF(Daten!$A$273=1,F74,IF(Daten!$A$274=1,G74,IF(Daten!$A$275=1,Mietstufenzuordnung!H74,"nV"))))</f>
        <v>nV</v>
      </c>
    </row>
    <row r="75" spans="1:12" x14ac:dyDescent="0.25">
      <c r="A75" s="167">
        <v>71</v>
      </c>
      <c r="B75" s="168" t="s">
        <v>136</v>
      </c>
      <c r="C75" s="169" t="s">
        <v>137</v>
      </c>
      <c r="D75" s="169" t="s">
        <v>333</v>
      </c>
      <c r="E75" s="170">
        <v>2</v>
      </c>
      <c r="F75" s="170">
        <v>3</v>
      </c>
      <c r="G75" s="170">
        <v>3</v>
      </c>
      <c r="H75" s="170">
        <v>2</v>
      </c>
      <c r="I75" s="170"/>
      <c r="J75" s="170"/>
      <c r="K75" s="170"/>
      <c r="L75" s="348" t="str">
        <f>IF(Daten!$A$272=1,E75,IF(Daten!$A$273=1,F75,IF(Daten!$A$274=1,G75,IF(Daten!$A$275=1,Mietstufenzuordnung!H75,"nV"))))</f>
        <v>nV</v>
      </c>
    </row>
    <row r="76" spans="1:12" x14ac:dyDescent="0.25">
      <c r="A76" s="167">
        <v>72</v>
      </c>
      <c r="B76" s="168" t="s">
        <v>138</v>
      </c>
      <c r="C76" s="169" t="s">
        <v>139</v>
      </c>
      <c r="D76" s="169" t="s">
        <v>333</v>
      </c>
      <c r="E76" s="170">
        <v>2</v>
      </c>
      <c r="F76" s="170">
        <v>2</v>
      </c>
      <c r="G76" s="170">
        <v>3</v>
      </c>
      <c r="H76" s="170">
        <v>2</v>
      </c>
      <c r="I76" s="170"/>
      <c r="J76" s="170"/>
      <c r="K76" s="170"/>
      <c r="L76" s="348" t="str">
        <f>IF(Daten!$A$272=1,E76,IF(Daten!$A$273=1,F76,IF(Daten!$A$274=1,G76,IF(Daten!$A$275=1,Mietstufenzuordnung!H76,"nV"))))</f>
        <v>nV</v>
      </c>
    </row>
    <row r="77" spans="1:12" x14ac:dyDescent="0.25">
      <c r="A77" s="167">
        <v>73</v>
      </c>
      <c r="B77" s="168" t="s">
        <v>140</v>
      </c>
      <c r="C77" s="169" t="s">
        <v>141</v>
      </c>
      <c r="D77" s="169" t="s">
        <v>333</v>
      </c>
      <c r="E77" s="170">
        <v>4</v>
      </c>
      <c r="F77" s="170">
        <v>1</v>
      </c>
      <c r="G77" s="170">
        <v>2</v>
      </c>
      <c r="H77" s="170">
        <v>2</v>
      </c>
      <c r="I77" s="170"/>
      <c r="J77" s="170"/>
      <c r="K77" s="170"/>
      <c r="L77" s="348" t="str">
        <f>IF(Daten!$A$272=1,E77,IF(Daten!$A$273=1,F77,IF(Daten!$A$274=1,G77,IF(Daten!$A$275=1,Mietstufenzuordnung!H77,"nV"))))</f>
        <v>nV</v>
      </c>
    </row>
    <row r="78" spans="1:12" x14ac:dyDescent="0.25">
      <c r="A78" s="167">
        <v>74</v>
      </c>
      <c r="B78" s="168" t="s">
        <v>142</v>
      </c>
      <c r="C78" s="169" t="s">
        <v>143</v>
      </c>
      <c r="D78" s="169" t="s">
        <v>333</v>
      </c>
      <c r="E78" s="170">
        <v>3</v>
      </c>
      <c r="F78" s="170">
        <v>1</v>
      </c>
      <c r="G78" s="170">
        <v>1</v>
      </c>
      <c r="H78" s="170">
        <v>3</v>
      </c>
      <c r="I78" s="170"/>
      <c r="J78" s="170"/>
      <c r="K78" s="170"/>
      <c r="L78" s="348" t="str">
        <f>IF(Daten!$A$272=1,E78,IF(Daten!$A$273=1,F78,IF(Daten!$A$274=1,G78,IF(Daten!$A$275=1,Mietstufenzuordnung!H78,"nV"))))</f>
        <v>nV</v>
      </c>
    </row>
    <row r="79" spans="1:12" x14ac:dyDescent="0.25">
      <c r="A79" s="167">
        <v>75</v>
      </c>
      <c r="B79" s="168" t="s">
        <v>144</v>
      </c>
      <c r="C79" s="169" t="s">
        <v>145</v>
      </c>
      <c r="D79" s="169" t="s">
        <v>333</v>
      </c>
      <c r="E79" s="170">
        <v>4</v>
      </c>
      <c r="F79" s="170">
        <v>1</v>
      </c>
      <c r="G79" s="170">
        <v>1</v>
      </c>
      <c r="H79" s="170">
        <v>2</v>
      </c>
      <c r="I79" s="170"/>
      <c r="J79" s="170"/>
      <c r="K79" s="170"/>
      <c r="L79" s="348" t="str">
        <f>IF(Daten!$A$272=1,E79,IF(Daten!$A$273=1,F79,IF(Daten!$A$274=1,G79,IF(Daten!$A$275=1,Mietstufenzuordnung!H79,"nV"))))</f>
        <v>nV</v>
      </c>
    </row>
    <row r="80" spans="1:12" x14ac:dyDescent="0.25">
      <c r="A80" s="167">
        <v>76</v>
      </c>
      <c r="B80" s="168" t="s">
        <v>146</v>
      </c>
      <c r="C80" s="169" t="s">
        <v>147</v>
      </c>
      <c r="D80" s="169" t="s">
        <v>333</v>
      </c>
      <c r="E80" s="170">
        <v>4</v>
      </c>
      <c r="F80" s="170">
        <v>1</v>
      </c>
      <c r="G80" s="170">
        <v>1</v>
      </c>
      <c r="H80" s="170">
        <v>2</v>
      </c>
      <c r="I80" s="170"/>
      <c r="J80" s="170"/>
      <c r="K80" s="170"/>
      <c r="L80" s="348" t="str">
        <f>IF(Daten!$A$272=1,E80,IF(Daten!$A$273=1,F80,IF(Daten!$A$274=1,G80,IF(Daten!$A$275=1,Mietstufenzuordnung!H80,"nV"))))</f>
        <v>nV</v>
      </c>
    </row>
    <row r="81" spans="1:12" x14ac:dyDescent="0.25">
      <c r="A81" s="167">
        <v>77</v>
      </c>
      <c r="B81" s="168" t="s">
        <v>148</v>
      </c>
      <c r="C81" s="169" t="s">
        <v>149</v>
      </c>
      <c r="D81" s="169" t="s">
        <v>333</v>
      </c>
      <c r="E81" s="170">
        <v>4</v>
      </c>
      <c r="F81" s="170">
        <v>1</v>
      </c>
      <c r="G81" s="170">
        <v>2</v>
      </c>
      <c r="H81" s="170">
        <v>2</v>
      </c>
      <c r="I81" s="170"/>
      <c r="J81" s="170"/>
      <c r="K81" s="170"/>
      <c r="L81" s="348" t="str">
        <f>IF(Daten!$A$272=1,E81,IF(Daten!$A$273=1,F81,IF(Daten!$A$274=1,G81,IF(Daten!$A$275=1,Mietstufenzuordnung!H81,"nV"))))</f>
        <v>nV</v>
      </c>
    </row>
    <row r="82" spans="1:12" x14ac:dyDescent="0.25">
      <c r="A82" s="167">
        <v>78</v>
      </c>
      <c r="B82" s="168" t="s">
        <v>150</v>
      </c>
      <c r="C82" s="169" t="s">
        <v>151</v>
      </c>
      <c r="D82" s="169" t="s">
        <v>333</v>
      </c>
      <c r="E82" s="170">
        <v>5</v>
      </c>
      <c r="F82" s="170">
        <v>1</v>
      </c>
      <c r="G82" s="170">
        <v>1</v>
      </c>
      <c r="H82" s="170">
        <v>4</v>
      </c>
      <c r="I82" s="170"/>
      <c r="J82" s="170"/>
      <c r="K82" s="170"/>
      <c r="L82" s="348" t="str">
        <f>IF(Daten!$A$272=1,E82,IF(Daten!$A$273=1,F82,IF(Daten!$A$274=1,G82,IF(Daten!$A$275=1,Mietstufenzuordnung!H82,"nV"))))</f>
        <v>nV</v>
      </c>
    </row>
    <row r="83" spans="1:12" x14ac:dyDescent="0.25">
      <c r="A83" s="167">
        <v>79</v>
      </c>
      <c r="B83" s="168" t="s">
        <v>152</v>
      </c>
      <c r="C83" s="169" t="s">
        <v>153</v>
      </c>
      <c r="D83" s="169" t="s">
        <v>333</v>
      </c>
      <c r="E83" s="170">
        <v>3</v>
      </c>
      <c r="F83" s="170">
        <v>1</v>
      </c>
      <c r="G83" s="170">
        <v>1</v>
      </c>
      <c r="H83" s="170">
        <v>3</v>
      </c>
      <c r="I83" s="170"/>
      <c r="J83" s="170"/>
      <c r="K83" s="170"/>
      <c r="L83" s="348" t="str">
        <f>IF(Daten!$A$272=1,E83,IF(Daten!$A$273=1,F83,IF(Daten!$A$274=1,G83,IF(Daten!$A$275=1,Mietstufenzuordnung!H83,"nV"))))</f>
        <v>nV</v>
      </c>
    </row>
    <row r="84" spans="1:12" x14ac:dyDescent="0.25">
      <c r="A84" s="167">
        <v>80</v>
      </c>
      <c r="B84" s="168" t="s">
        <v>154</v>
      </c>
      <c r="C84" s="169" t="s">
        <v>155</v>
      </c>
      <c r="D84" s="169" t="s">
        <v>333</v>
      </c>
      <c r="E84" s="170">
        <v>4</v>
      </c>
      <c r="F84" s="170">
        <v>1</v>
      </c>
      <c r="G84" s="170">
        <v>1</v>
      </c>
      <c r="H84" s="170">
        <v>2</v>
      </c>
      <c r="I84" s="170"/>
      <c r="J84" s="170"/>
      <c r="K84" s="170"/>
      <c r="L84" s="348" t="str">
        <f>IF(Daten!$A$272=1,E84,IF(Daten!$A$273=1,F84,IF(Daten!$A$274=1,G84,IF(Daten!$A$275=1,Mietstufenzuordnung!H84,"nV"))))</f>
        <v>nV</v>
      </c>
    </row>
    <row r="85" spans="1:12" x14ac:dyDescent="0.25">
      <c r="A85" s="167">
        <v>81</v>
      </c>
      <c r="B85" s="168" t="s">
        <v>156</v>
      </c>
      <c r="C85" s="169" t="s">
        <v>157</v>
      </c>
      <c r="D85" s="169" t="s">
        <v>333</v>
      </c>
      <c r="E85" s="170">
        <v>4</v>
      </c>
      <c r="F85" s="170">
        <v>1</v>
      </c>
      <c r="G85" s="170">
        <v>1</v>
      </c>
      <c r="H85" s="170">
        <v>2</v>
      </c>
      <c r="I85" s="170"/>
      <c r="J85" s="170"/>
      <c r="K85" s="170"/>
      <c r="L85" s="348" t="str">
        <f>IF(Daten!$A$272=1,E85,IF(Daten!$A$273=1,F85,IF(Daten!$A$274=1,G85,IF(Daten!$A$275=1,Mietstufenzuordnung!H85,"nV"))))</f>
        <v>nV</v>
      </c>
    </row>
    <row r="86" spans="1:12" x14ac:dyDescent="0.25">
      <c r="A86" s="167">
        <v>82</v>
      </c>
      <c r="B86" s="168" t="s">
        <v>158</v>
      </c>
      <c r="C86" s="169" t="s">
        <v>159</v>
      </c>
      <c r="D86" s="169" t="s">
        <v>333</v>
      </c>
      <c r="E86" s="170">
        <v>2</v>
      </c>
      <c r="F86" s="170">
        <v>3</v>
      </c>
      <c r="G86" s="170">
        <v>3</v>
      </c>
      <c r="H86" s="170">
        <v>2</v>
      </c>
      <c r="I86" s="170"/>
      <c r="J86" s="170"/>
      <c r="K86" s="170"/>
      <c r="L86" s="348" t="str">
        <f>IF(Daten!$A$272=1,E86,IF(Daten!$A$273=1,F86,IF(Daten!$A$274=1,G86,IF(Daten!$A$275=1,Mietstufenzuordnung!H86,"nV"))))</f>
        <v>nV</v>
      </c>
    </row>
    <row r="87" spans="1:12" x14ac:dyDescent="0.25">
      <c r="A87" s="167">
        <v>83</v>
      </c>
      <c r="B87" s="168" t="s">
        <v>160</v>
      </c>
      <c r="C87" s="169" t="s">
        <v>161</v>
      </c>
      <c r="D87" s="169" t="s">
        <v>333</v>
      </c>
      <c r="E87" s="170">
        <v>3</v>
      </c>
      <c r="F87" s="170">
        <v>1</v>
      </c>
      <c r="G87" s="170">
        <v>1</v>
      </c>
      <c r="H87" s="170">
        <v>3</v>
      </c>
      <c r="I87" s="170"/>
      <c r="J87" s="170"/>
      <c r="K87" s="170"/>
      <c r="L87" s="348" t="str">
        <f>IF(Daten!$A$272=1,E87,IF(Daten!$A$273=1,F87,IF(Daten!$A$274=1,G87,IF(Daten!$A$275=1,Mietstufenzuordnung!H87,"nV"))))</f>
        <v>nV</v>
      </c>
    </row>
    <row r="88" spans="1:12" x14ac:dyDescent="0.25">
      <c r="A88" s="167">
        <v>84</v>
      </c>
      <c r="B88" s="168" t="s">
        <v>162</v>
      </c>
      <c r="C88" s="169" t="s">
        <v>163</v>
      </c>
      <c r="D88" s="169" t="s">
        <v>333</v>
      </c>
      <c r="E88" s="170">
        <v>5</v>
      </c>
      <c r="F88" s="170">
        <v>1</v>
      </c>
      <c r="G88" s="170">
        <v>1</v>
      </c>
      <c r="H88" s="170">
        <v>4</v>
      </c>
      <c r="I88" s="170"/>
      <c r="J88" s="170"/>
      <c r="K88" s="170"/>
      <c r="L88" s="348" t="str">
        <f>IF(Daten!$A$272=1,E88,IF(Daten!$A$273=1,F88,IF(Daten!$A$274=1,G88,IF(Daten!$A$275=1,Mietstufenzuordnung!H88,"nV"))))</f>
        <v>nV</v>
      </c>
    </row>
    <row r="89" spans="1:12" x14ac:dyDescent="0.25">
      <c r="A89" s="167">
        <v>85</v>
      </c>
      <c r="B89" s="168" t="s">
        <v>164</v>
      </c>
      <c r="C89" s="169" t="s">
        <v>165</v>
      </c>
      <c r="D89" s="169" t="s">
        <v>333</v>
      </c>
      <c r="E89" s="170">
        <v>4</v>
      </c>
      <c r="F89" s="170">
        <v>1</v>
      </c>
      <c r="G89" s="170">
        <v>2</v>
      </c>
      <c r="H89" s="170">
        <v>2</v>
      </c>
      <c r="I89" s="170"/>
      <c r="J89" s="170"/>
      <c r="K89" s="170"/>
      <c r="L89" s="348" t="str">
        <f>IF(Daten!$A$272=1,E89,IF(Daten!$A$273=1,F89,IF(Daten!$A$274=1,G89,IF(Daten!$A$275=1,Mietstufenzuordnung!H89,"nV"))))</f>
        <v>nV</v>
      </c>
    </row>
    <row r="90" spans="1:12" x14ac:dyDescent="0.25">
      <c r="A90" s="167">
        <v>86</v>
      </c>
      <c r="B90" s="168" t="s">
        <v>166</v>
      </c>
      <c r="C90" s="169" t="s">
        <v>167</v>
      </c>
      <c r="D90" s="169" t="s">
        <v>333</v>
      </c>
      <c r="E90" s="170">
        <v>5</v>
      </c>
      <c r="F90" s="170">
        <v>1</v>
      </c>
      <c r="G90" s="170">
        <v>1</v>
      </c>
      <c r="H90" s="170">
        <v>4</v>
      </c>
      <c r="I90" s="170"/>
      <c r="J90" s="170"/>
      <c r="K90" s="170"/>
      <c r="L90" s="348" t="str">
        <f>IF(Daten!$A$272=1,E90,IF(Daten!$A$273=1,F90,IF(Daten!$A$274=1,G90,IF(Daten!$A$275=1,Mietstufenzuordnung!H90,"nV"))))</f>
        <v>nV</v>
      </c>
    </row>
    <row r="91" spans="1:12" x14ac:dyDescent="0.25">
      <c r="A91" s="167">
        <v>87</v>
      </c>
      <c r="B91" s="168" t="s">
        <v>168</v>
      </c>
      <c r="C91" s="169" t="s">
        <v>169</v>
      </c>
      <c r="D91" s="169" t="s">
        <v>333</v>
      </c>
      <c r="E91" s="170">
        <v>4</v>
      </c>
      <c r="F91" s="170">
        <v>1</v>
      </c>
      <c r="G91" s="170">
        <v>2</v>
      </c>
      <c r="H91" s="170">
        <v>2</v>
      </c>
      <c r="I91" s="170"/>
      <c r="J91" s="170"/>
      <c r="K91" s="170"/>
      <c r="L91" s="348" t="str">
        <f>IF(Daten!$A$272=1,E91,IF(Daten!$A$273=1,F91,IF(Daten!$A$274=1,G91,IF(Daten!$A$275=1,Mietstufenzuordnung!H91,"nV"))))</f>
        <v>nV</v>
      </c>
    </row>
    <row r="92" spans="1:12" x14ac:dyDescent="0.25">
      <c r="A92" s="167">
        <v>88</v>
      </c>
      <c r="B92" s="168" t="s">
        <v>170</v>
      </c>
      <c r="C92" s="169" t="s">
        <v>171</v>
      </c>
      <c r="D92" s="169" t="s">
        <v>333</v>
      </c>
      <c r="E92" s="170">
        <v>4</v>
      </c>
      <c r="F92" s="170">
        <v>1</v>
      </c>
      <c r="G92" s="170">
        <v>2</v>
      </c>
      <c r="H92" s="170">
        <v>2</v>
      </c>
      <c r="I92" s="170"/>
      <c r="J92" s="170"/>
      <c r="K92" s="170"/>
      <c r="L92" s="348" t="str">
        <f>IF(Daten!$A$272=1,E92,IF(Daten!$A$273=1,F92,IF(Daten!$A$274=1,G92,IF(Daten!$A$275=1,Mietstufenzuordnung!H92,"nV"))))</f>
        <v>nV</v>
      </c>
    </row>
    <row r="93" spans="1:12" x14ac:dyDescent="0.25">
      <c r="A93" s="167">
        <v>89</v>
      </c>
      <c r="B93" s="168" t="s">
        <v>172</v>
      </c>
      <c r="C93" s="169" t="s">
        <v>173</v>
      </c>
      <c r="D93" s="169" t="s">
        <v>333</v>
      </c>
      <c r="E93" s="170">
        <v>3</v>
      </c>
      <c r="F93" s="170">
        <v>1</v>
      </c>
      <c r="G93" s="170">
        <v>1</v>
      </c>
      <c r="H93" s="170">
        <v>3</v>
      </c>
      <c r="I93" s="170"/>
      <c r="J93" s="170"/>
      <c r="K93" s="170"/>
      <c r="L93" s="348" t="str">
        <f>IF(Daten!$A$272=1,E93,IF(Daten!$A$273=1,F93,IF(Daten!$A$274=1,G93,IF(Daten!$A$275=1,Mietstufenzuordnung!H93,"nV"))))</f>
        <v>nV</v>
      </c>
    </row>
    <row r="94" spans="1:12" x14ac:dyDescent="0.25">
      <c r="A94" s="167">
        <v>90</v>
      </c>
      <c r="B94" s="168" t="s">
        <v>174</v>
      </c>
      <c r="C94" s="169" t="s">
        <v>175</v>
      </c>
      <c r="D94" s="169" t="s">
        <v>333</v>
      </c>
      <c r="E94" s="170">
        <v>3</v>
      </c>
      <c r="F94" s="170">
        <v>1</v>
      </c>
      <c r="G94" s="170">
        <v>1</v>
      </c>
      <c r="H94" s="170">
        <v>3</v>
      </c>
      <c r="I94" s="170"/>
      <c r="J94" s="170"/>
      <c r="K94" s="170"/>
      <c r="L94" s="348" t="str">
        <f>IF(Daten!$A$272=1,E94,IF(Daten!$A$273=1,F94,IF(Daten!$A$274=1,G94,IF(Daten!$A$275=1,Mietstufenzuordnung!H94,"nV"))))</f>
        <v>nV</v>
      </c>
    </row>
    <row r="95" spans="1:12" x14ac:dyDescent="0.25">
      <c r="A95" s="167">
        <v>91</v>
      </c>
      <c r="B95" s="168" t="s">
        <v>176</v>
      </c>
      <c r="C95" s="169" t="s">
        <v>177</v>
      </c>
      <c r="D95" s="169" t="s">
        <v>333</v>
      </c>
      <c r="E95" s="170">
        <v>5</v>
      </c>
      <c r="F95" s="170">
        <v>1</v>
      </c>
      <c r="G95" s="170">
        <v>1</v>
      </c>
      <c r="H95" s="170">
        <v>4</v>
      </c>
      <c r="I95" s="170"/>
      <c r="J95" s="170"/>
      <c r="K95" s="170"/>
      <c r="L95" s="348" t="str">
        <f>IF(Daten!$A$272=1,E95,IF(Daten!$A$273=1,F95,IF(Daten!$A$274=1,G95,IF(Daten!$A$275=1,Mietstufenzuordnung!H95,"nV"))))</f>
        <v>nV</v>
      </c>
    </row>
    <row r="96" spans="1:12" x14ac:dyDescent="0.25">
      <c r="A96" s="167">
        <v>92</v>
      </c>
      <c r="B96" s="168" t="s">
        <v>178</v>
      </c>
      <c r="C96" s="169" t="s">
        <v>179</v>
      </c>
      <c r="D96" s="169" t="s">
        <v>333</v>
      </c>
      <c r="E96" s="170">
        <v>2</v>
      </c>
      <c r="F96" s="170">
        <v>3</v>
      </c>
      <c r="G96" s="170">
        <v>3</v>
      </c>
      <c r="H96" s="170">
        <v>2</v>
      </c>
      <c r="I96" s="170"/>
      <c r="J96" s="170"/>
      <c r="K96" s="170"/>
      <c r="L96" s="348" t="str">
        <f>IF(Daten!$A$272=1,E96,IF(Daten!$A$273=1,F96,IF(Daten!$A$274=1,G96,IF(Daten!$A$275=1,Mietstufenzuordnung!H96,"nV"))))</f>
        <v>nV</v>
      </c>
    </row>
    <row r="97" spans="1:12" x14ac:dyDescent="0.25">
      <c r="A97" s="167">
        <v>93</v>
      </c>
      <c r="B97" s="168" t="s">
        <v>180</v>
      </c>
      <c r="C97" s="169" t="s">
        <v>181</v>
      </c>
      <c r="D97" s="169" t="s">
        <v>333</v>
      </c>
      <c r="E97" s="170">
        <v>3</v>
      </c>
      <c r="F97" s="170">
        <v>1</v>
      </c>
      <c r="G97" s="170">
        <v>1</v>
      </c>
      <c r="H97" s="170">
        <v>3</v>
      </c>
      <c r="I97" s="170"/>
      <c r="J97" s="170"/>
      <c r="K97" s="170"/>
      <c r="L97" s="348" t="str">
        <f>IF(Daten!$A$272=1,E97,IF(Daten!$A$273=1,F97,IF(Daten!$A$274=1,G97,IF(Daten!$A$275=1,Mietstufenzuordnung!H97,"nV"))))</f>
        <v>nV</v>
      </c>
    </row>
    <row r="98" spans="1:12" x14ac:dyDescent="0.25">
      <c r="A98" s="167">
        <v>94</v>
      </c>
      <c r="B98" s="168" t="s">
        <v>182</v>
      </c>
      <c r="C98" s="169" t="s">
        <v>183</v>
      </c>
      <c r="D98" s="169" t="s">
        <v>333</v>
      </c>
      <c r="E98" s="170">
        <v>4</v>
      </c>
      <c r="F98" s="170">
        <v>1</v>
      </c>
      <c r="G98" s="170">
        <v>1</v>
      </c>
      <c r="H98" s="170">
        <v>2</v>
      </c>
      <c r="I98" s="170"/>
      <c r="J98" s="170"/>
      <c r="K98" s="170"/>
      <c r="L98" s="348" t="str">
        <f>IF(Daten!$A$272=1,E98,IF(Daten!$A$273=1,F98,IF(Daten!$A$274=1,G98,IF(Daten!$A$275=1,Mietstufenzuordnung!H98,"nV"))))</f>
        <v>nV</v>
      </c>
    </row>
    <row r="99" spans="1:12" x14ac:dyDescent="0.25">
      <c r="A99" s="167">
        <v>95</v>
      </c>
      <c r="B99" s="168" t="s">
        <v>184</v>
      </c>
      <c r="C99" s="169" t="s">
        <v>185</v>
      </c>
      <c r="D99" s="169" t="s">
        <v>333</v>
      </c>
      <c r="E99" s="170">
        <v>4</v>
      </c>
      <c r="F99" s="170">
        <v>1</v>
      </c>
      <c r="G99" s="170">
        <v>1</v>
      </c>
      <c r="H99" s="170">
        <v>2</v>
      </c>
      <c r="I99" s="170"/>
      <c r="J99" s="170"/>
      <c r="K99" s="170"/>
      <c r="L99" s="348" t="str">
        <f>IF(Daten!$A$272=1,E99,IF(Daten!$A$273=1,F99,IF(Daten!$A$274=1,G99,IF(Daten!$A$275=1,Mietstufenzuordnung!H99,"nV"))))</f>
        <v>nV</v>
      </c>
    </row>
    <row r="100" spans="1:12" x14ac:dyDescent="0.25">
      <c r="A100" s="167">
        <v>96</v>
      </c>
      <c r="B100" s="168" t="s">
        <v>186</v>
      </c>
      <c r="C100" s="169" t="s">
        <v>187</v>
      </c>
      <c r="D100" s="169" t="s">
        <v>333</v>
      </c>
      <c r="E100" s="170">
        <v>4</v>
      </c>
      <c r="F100" s="170">
        <v>1</v>
      </c>
      <c r="G100" s="170">
        <v>2</v>
      </c>
      <c r="H100" s="170">
        <v>2</v>
      </c>
      <c r="I100" s="170"/>
      <c r="J100" s="170"/>
      <c r="K100" s="170"/>
      <c r="L100" s="348" t="str">
        <f>IF(Daten!$A$272=1,E100,IF(Daten!$A$273=1,F100,IF(Daten!$A$274=1,G100,IF(Daten!$A$275=1,Mietstufenzuordnung!H100,"nV"))))</f>
        <v>nV</v>
      </c>
    </row>
    <row r="101" spans="1:12" x14ac:dyDescent="0.25">
      <c r="A101" s="167">
        <v>97</v>
      </c>
      <c r="B101" s="168" t="s">
        <v>188</v>
      </c>
      <c r="C101" s="169" t="s">
        <v>189</v>
      </c>
      <c r="D101" s="169" t="s">
        <v>333</v>
      </c>
      <c r="E101" s="170">
        <v>4</v>
      </c>
      <c r="F101" s="170">
        <v>1</v>
      </c>
      <c r="G101" s="170">
        <v>2</v>
      </c>
      <c r="H101" s="170">
        <v>2</v>
      </c>
      <c r="I101" s="170"/>
      <c r="J101" s="170"/>
      <c r="K101" s="170"/>
      <c r="L101" s="348" t="str">
        <f>IF(Daten!$A$272=1,E101,IF(Daten!$A$273=1,F101,IF(Daten!$A$274=1,G101,IF(Daten!$A$275=1,Mietstufenzuordnung!H101,"nV"))))</f>
        <v>nV</v>
      </c>
    </row>
    <row r="102" spans="1:12" x14ac:dyDescent="0.25">
      <c r="A102" s="167">
        <v>98</v>
      </c>
      <c r="B102" s="168" t="s">
        <v>190</v>
      </c>
      <c r="C102" s="169" t="s">
        <v>191</v>
      </c>
      <c r="D102" s="169" t="s">
        <v>333</v>
      </c>
      <c r="E102" s="170">
        <v>4</v>
      </c>
      <c r="F102" s="170">
        <v>1</v>
      </c>
      <c r="G102" s="170">
        <v>1</v>
      </c>
      <c r="H102" s="170">
        <v>2</v>
      </c>
      <c r="I102" s="170"/>
      <c r="J102" s="170"/>
      <c r="K102" s="170"/>
      <c r="L102" s="348" t="str">
        <f>IF(Daten!$A$272=1,E102,IF(Daten!$A$273=1,F102,IF(Daten!$A$274=1,G102,IF(Daten!$A$275=1,Mietstufenzuordnung!H102,"nV"))))</f>
        <v>nV</v>
      </c>
    </row>
    <row r="103" spans="1:12" x14ac:dyDescent="0.25">
      <c r="A103" s="167">
        <v>99</v>
      </c>
      <c r="B103" s="168" t="s">
        <v>192</v>
      </c>
      <c r="C103" s="169" t="s">
        <v>193</v>
      </c>
      <c r="D103" s="169" t="s">
        <v>333</v>
      </c>
      <c r="E103" s="170">
        <v>5</v>
      </c>
      <c r="F103" s="170">
        <v>1</v>
      </c>
      <c r="G103" s="170">
        <v>1</v>
      </c>
      <c r="H103" s="170">
        <v>4</v>
      </c>
      <c r="I103" s="170"/>
      <c r="J103" s="170"/>
      <c r="K103" s="170"/>
      <c r="L103" s="348" t="str">
        <f>IF(Daten!$A$272=1,E103,IF(Daten!$A$273=1,F103,IF(Daten!$A$274=1,G103,IF(Daten!$A$275=1,Mietstufenzuordnung!H103,"nV"))))</f>
        <v>nV</v>
      </c>
    </row>
    <row r="104" spans="1:12" x14ac:dyDescent="0.25">
      <c r="A104" s="167">
        <v>100</v>
      </c>
      <c r="B104" s="168" t="s">
        <v>194</v>
      </c>
      <c r="C104" s="169" t="s">
        <v>195</v>
      </c>
      <c r="D104" s="169" t="s">
        <v>333</v>
      </c>
      <c r="E104" s="170">
        <v>2</v>
      </c>
      <c r="F104" s="170">
        <v>2</v>
      </c>
      <c r="G104" s="170">
        <v>3</v>
      </c>
      <c r="H104" s="170">
        <v>2</v>
      </c>
      <c r="I104" s="170"/>
      <c r="J104" s="170"/>
      <c r="K104" s="170"/>
      <c r="L104" s="348" t="str">
        <f>IF(Daten!$A$272=1,E104,IF(Daten!$A$273=1,F104,IF(Daten!$A$274=1,G104,IF(Daten!$A$275=1,Mietstufenzuordnung!H104,"nV"))))</f>
        <v>nV</v>
      </c>
    </row>
    <row r="105" spans="1:12" x14ac:dyDescent="0.25">
      <c r="A105" s="167">
        <v>101</v>
      </c>
      <c r="B105" s="168" t="s">
        <v>196</v>
      </c>
      <c r="C105" s="169" t="s">
        <v>197</v>
      </c>
      <c r="D105" s="169" t="s">
        <v>333</v>
      </c>
      <c r="E105" s="170">
        <v>5</v>
      </c>
      <c r="F105" s="170">
        <v>1</v>
      </c>
      <c r="G105" s="170">
        <v>1</v>
      </c>
      <c r="H105" s="170">
        <v>4</v>
      </c>
      <c r="I105" s="170"/>
      <c r="J105" s="170"/>
      <c r="K105" s="170"/>
      <c r="L105" s="348" t="str">
        <f>IF(Daten!$A$272=1,E105,IF(Daten!$A$273=1,F105,IF(Daten!$A$274=1,G105,IF(Daten!$A$275=1,Mietstufenzuordnung!H105,"nV"))))</f>
        <v>nV</v>
      </c>
    </row>
    <row r="106" spans="1:12" x14ac:dyDescent="0.25">
      <c r="A106" s="167">
        <v>102</v>
      </c>
      <c r="B106" s="168" t="s">
        <v>198</v>
      </c>
      <c r="C106" s="169" t="s">
        <v>199</v>
      </c>
      <c r="D106" s="169" t="s">
        <v>333</v>
      </c>
      <c r="E106" s="170">
        <v>4</v>
      </c>
      <c r="F106" s="170">
        <v>1</v>
      </c>
      <c r="G106" s="170">
        <v>1</v>
      </c>
      <c r="H106" s="170">
        <v>2</v>
      </c>
      <c r="I106" s="170"/>
      <c r="J106" s="170"/>
      <c r="K106" s="170"/>
      <c r="L106" s="348" t="str">
        <f>IF(Daten!$A$272=1,E106,IF(Daten!$A$273=1,F106,IF(Daten!$A$274=1,G106,IF(Daten!$A$275=1,Mietstufenzuordnung!H106,"nV"))))</f>
        <v>nV</v>
      </c>
    </row>
    <row r="107" spans="1:12" x14ac:dyDescent="0.25">
      <c r="A107" s="167">
        <v>103</v>
      </c>
      <c r="B107" s="168" t="s">
        <v>200</v>
      </c>
      <c r="C107" s="169" t="s">
        <v>201</v>
      </c>
      <c r="D107" s="169" t="s">
        <v>333</v>
      </c>
      <c r="E107" s="170">
        <v>5</v>
      </c>
      <c r="F107" s="170">
        <v>1</v>
      </c>
      <c r="G107" s="170">
        <v>1</v>
      </c>
      <c r="H107" s="170">
        <v>4</v>
      </c>
      <c r="I107" s="170"/>
      <c r="J107" s="170"/>
      <c r="K107" s="170"/>
      <c r="L107" s="348" t="str">
        <f>IF(Daten!$A$272=1,E107,IF(Daten!$A$273=1,F107,IF(Daten!$A$274=1,G107,IF(Daten!$A$275=1,Mietstufenzuordnung!H107,"nV"))))</f>
        <v>nV</v>
      </c>
    </row>
    <row r="108" spans="1:12" x14ac:dyDescent="0.25">
      <c r="A108" s="167">
        <v>104</v>
      </c>
      <c r="B108" s="168" t="s">
        <v>202</v>
      </c>
      <c r="C108" s="169" t="s">
        <v>203</v>
      </c>
      <c r="D108" s="169" t="s">
        <v>333</v>
      </c>
      <c r="E108" s="170">
        <v>2</v>
      </c>
      <c r="F108" s="170">
        <v>3</v>
      </c>
      <c r="G108" s="170">
        <v>3</v>
      </c>
      <c r="H108" s="170">
        <v>1</v>
      </c>
      <c r="I108" s="170"/>
      <c r="J108" s="170"/>
      <c r="K108" s="170"/>
      <c r="L108" s="348" t="str">
        <f>IF(Daten!$A$272=1,E108,IF(Daten!$A$273=1,F108,IF(Daten!$A$274=1,G108,IF(Daten!$A$275=1,Mietstufenzuordnung!H108,"nV"))))</f>
        <v>nV</v>
      </c>
    </row>
    <row r="109" spans="1:12" x14ac:dyDescent="0.25">
      <c r="A109" s="167">
        <v>105</v>
      </c>
      <c r="B109" s="168" t="s">
        <v>204</v>
      </c>
      <c r="C109" s="169" t="s">
        <v>205</v>
      </c>
      <c r="D109" s="169" t="s">
        <v>333</v>
      </c>
      <c r="E109" s="170">
        <v>5</v>
      </c>
      <c r="F109" s="170">
        <v>1</v>
      </c>
      <c r="G109" s="170">
        <v>1</v>
      </c>
      <c r="H109" s="170">
        <v>4</v>
      </c>
      <c r="I109" s="170"/>
      <c r="J109" s="170"/>
      <c r="K109" s="170"/>
      <c r="L109" s="348" t="str">
        <f>IF(Daten!$A$272=1,E109,IF(Daten!$A$273=1,F109,IF(Daten!$A$274=1,G109,IF(Daten!$A$275=1,Mietstufenzuordnung!H109,"nV"))))</f>
        <v>nV</v>
      </c>
    </row>
    <row r="110" spans="1:12" x14ac:dyDescent="0.25">
      <c r="A110" s="167">
        <v>106</v>
      </c>
      <c r="B110" s="168" t="s">
        <v>206</v>
      </c>
      <c r="C110" s="169" t="s">
        <v>207</v>
      </c>
      <c r="D110" s="169" t="s">
        <v>333</v>
      </c>
      <c r="E110" s="170">
        <v>4</v>
      </c>
      <c r="F110" s="170">
        <v>1</v>
      </c>
      <c r="G110" s="170">
        <v>1</v>
      </c>
      <c r="H110" s="170">
        <v>2</v>
      </c>
      <c r="I110" s="170"/>
      <c r="J110" s="170"/>
      <c r="K110" s="170"/>
      <c r="L110" s="348" t="str">
        <f>IF(Daten!$A$272=1,E110,IF(Daten!$A$273=1,F110,IF(Daten!$A$274=1,G110,IF(Daten!$A$275=1,Mietstufenzuordnung!H110,"nV"))))</f>
        <v>nV</v>
      </c>
    </row>
    <row r="111" spans="1:12" x14ac:dyDescent="0.25">
      <c r="A111" s="167">
        <v>107</v>
      </c>
      <c r="B111" s="168" t="s">
        <v>208</v>
      </c>
      <c r="C111" s="169" t="s">
        <v>209</v>
      </c>
      <c r="D111" s="169" t="s">
        <v>333</v>
      </c>
      <c r="E111" s="170">
        <v>4</v>
      </c>
      <c r="F111" s="170">
        <v>1</v>
      </c>
      <c r="G111" s="170">
        <v>1</v>
      </c>
      <c r="H111" s="170">
        <v>2</v>
      </c>
      <c r="I111" s="170"/>
      <c r="J111" s="170"/>
      <c r="K111" s="170"/>
      <c r="L111" s="348" t="str">
        <f>IF(Daten!$A$272=1,E111,IF(Daten!$A$273=1,F111,IF(Daten!$A$274=1,G111,IF(Daten!$A$275=1,Mietstufenzuordnung!H111,"nV"))))</f>
        <v>nV</v>
      </c>
    </row>
    <row r="112" spans="1:12" x14ac:dyDescent="0.25">
      <c r="A112" s="167">
        <v>108</v>
      </c>
      <c r="B112" s="168" t="s">
        <v>210</v>
      </c>
      <c r="C112" s="169" t="s">
        <v>211</v>
      </c>
      <c r="D112" s="169" t="s">
        <v>333</v>
      </c>
      <c r="E112" s="170">
        <v>2</v>
      </c>
      <c r="F112" s="170">
        <v>3</v>
      </c>
      <c r="G112" s="170">
        <v>3</v>
      </c>
      <c r="H112" s="170">
        <v>2</v>
      </c>
      <c r="I112" s="170"/>
      <c r="J112" s="170"/>
      <c r="K112" s="170"/>
      <c r="L112" s="348" t="str">
        <f>IF(Daten!$A$272=1,E112,IF(Daten!$A$273=1,F112,IF(Daten!$A$274=1,G112,IF(Daten!$A$275=1,Mietstufenzuordnung!H112,"nV"))))</f>
        <v>nV</v>
      </c>
    </row>
    <row r="113" spans="1:12" x14ac:dyDescent="0.25">
      <c r="A113" s="167">
        <v>109</v>
      </c>
      <c r="B113" s="168" t="s">
        <v>212</v>
      </c>
      <c r="C113" s="169" t="s">
        <v>213</v>
      </c>
      <c r="D113" s="169" t="s">
        <v>333</v>
      </c>
      <c r="E113" s="170">
        <v>4</v>
      </c>
      <c r="F113" s="170">
        <v>1</v>
      </c>
      <c r="G113" s="170">
        <v>1</v>
      </c>
      <c r="H113" s="170">
        <v>2</v>
      </c>
      <c r="I113" s="170"/>
      <c r="J113" s="170"/>
      <c r="K113" s="170"/>
      <c r="L113" s="348" t="str">
        <f>IF(Daten!$A$272=1,E113,IF(Daten!$A$273=1,F113,IF(Daten!$A$274=1,G113,IF(Daten!$A$275=1,Mietstufenzuordnung!H113,"nV"))))</f>
        <v>nV</v>
      </c>
    </row>
    <row r="114" spans="1:12" x14ac:dyDescent="0.25">
      <c r="A114" s="167">
        <v>110</v>
      </c>
      <c r="B114" s="168" t="s">
        <v>214</v>
      </c>
      <c r="C114" s="169" t="s">
        <v>215</v>
      </c>
      <c r="D114" s="169" t="s">
        <v>333</v>
      </c>
      <c r="E114" s="170">
        <v>3</v>
      </c>
      <c r="F114" s="170">
        <v>1</v>
      </c>
      <c r="G114" s="170">
        <v>1</v>
      </c>
      <c r="H114" s="170">
        <v>3</v>
      </c>
      <c r="I114" s="170"/>
      <c r="J114" s="170"/>
      <c r="K114" s="170"/>
      <c r="L114" s="348" t="str">
        <f>IF(Daten!$A$272=1,E114,IF(Daten!$A$273=1,F114,IF(Daten!$A$274=1,G114,IF(Daten!$A$275=1,Mietstufenzuordnung!H114,"nV"))))</f>
        <v>nV</v>
      </c>
    </row>
    <row r="115" spans="1:12" x14ac:dyDescent="0.25">
      <c r="A115" s="167">
        <v>111</v>
      </c>
      <c r="B115" s="168" t="s">
        <v>216</v>
      </c>
      <c r="C115" s="169" t="s">
        <v>217</v>
      </c>
      <c r="D115" s="169" t="s">
        <v>333</v>
      </c>
      <c r="E115" s="170">
        <v>2</v>
      </c>
      <c r="F115" s="170">
        <v>3</v>
      </c>
      <c r="G115" s="170">
        <v>3</v>
      </c>
      <c r="H115" s="170">
        <v>2</v>
      </c>
      <c r="I115" s="170"/>
      <c r="J115" s="170"/>
      <c r="K115" s="170"/>
      <c r="L115" s="348" t="str">
        <f>IF(Daten!$A$272=1,E115,IF(Daten!$A$273=1,F115,IF(Daten!$A$274=1,G115,IF(Daten!$A$275=1,Mietstufenzuordnung!H115,"nV"))))</f>
        <v>nV</v>
      </c>
    </row>
    <row r="116" spans="1:12" x14ac:dyDescent="0.25">
      <c r="A116" s="167">
        <v>112</v>
      </c>
      <c r="B116" s="168" t="s">
        <v>218</v>
      </c>
      <c r="C116" s="169" t="s">
        <v>219</v>
      </c>
      <c r="D116" s="169" t="s">
        <v>333</v>
      </c>
      <c r="E116" s="170">
        <v>2</v>
      </c>
      <c r="F116" s="170">
        <v>2</v>
      </c>
      <c r="G116" s="170">
        <v>3</v>
      </c>
      <c r="H116" s="170">
        <v>2</v>
      </c>
      <c r="I116" s="170"/>
      <c r="J116" s="170"/>
      <c r="K116" s="170"/>
      <c r="L116" s="348" t="str">
        <f>IF(Daten!$A$272=1,E116,IF(Daten!$A$273=1,F116,IF(Daten!$A$274=1,G116,IF(Daten!$A$275=1,Mietstufenzuordnung!H116,"nV"))))</f>
        <v>nV</v>
      </c>
    </row>
    <row r="117" spans="1:12" x14ac:dyDescent="0.25">
      <c r="A117" s="167">
        <v>113</v>
      </c>
      <c r="B117" s="168" t="s">
        <v>220</v>
      </c>
      <c r="C117" s="169" t="s">
        <v>221</v>
      </c>
      <c r="D117" s="169" t="s">
        <v>333</v>
      </c>
      <c r="E117" s="170">
        <v>3</v>
      </c>
      <c r="F117" s="170">
        <v>1</v>
      </c>
      <c r="G117" s="170">
        <v>1</v>
      </c>
      <c r="H117" s="170">
        <v>3</v>
      </c>
      <c r="I117" s="170"/>
      <c r="J117" s="170"/>
      <c r="K117" s="170"/>
      <c r="L117" s="348" t="str">
        <f>IF(Daten!$A$272=1,E117,IF(Daten!$A$273=1,F117,IF(Daten!$A$274=1,G117,IF(Daten!$A$275=1,Mietstufenzuordnung!H117,"nV"))))</f>
        <v>nV</v>
      </c>
    </row>
    <row r="118" spans="1:12" x14ac:dyDescent="0.25">
      <c r="A118" s="167">
        <v>114</v>
      </c>
      <c r="B118" s="168" t="s">
        <v>222</v>
      </c>
      <c r="C118" s="169" t="s">
        <v>223</v>
      </c>
      <c r="D118" s="169" t="s">
        <v>333</v>
      </c>
      <c r="E118" s="170">
        <v>3</v>
      </c>
      <c r="F118" s="170">
        <v>1</v>
      </c>
      <c r="G118" s="170">
        <v>1</v>
      </c>
      <c r="H118" s="170">
        <v>3</v>
      </c>
      <c r="I118" s="170"/>
      <c r="J118" s="170"/>
      <c r="K118" s="170"/>
      <c r="L118" s="348" t="str">
        <f>IF(Daten!$A$272=1,E118,IF(Daten!$A$273=1,F118,IF(Daten!$A$274=1,G118,IF(Daten!$A$275=1,Mietstufenzuordnung!H118,"nV"))))</f>
        <v>nV</v>
      </c>
    </row>
    <row r="119" spans="1:12" x14ac:dyDescent="0.25">
      <c r="A119" s="167">
        <v>115</v>
      </c>
      <c r="B119" s="168" t="s">
        <v>224</v>
      </c>
      <c r="C119" s="169" t="s">
        <v>225</v>
      </c>
      <c r="D119" s="169" t="s">
        <v>333</v>
      </c>
      <c r="E119" s="170">
        <v>4</v>
      </c>
      <c r="F119" s="170">
        <v>1</v>
      </c>
      <c r="G119" s="170">
        <v>1</v>
      </c>
      <c r="H119" s="170">
        <v>2</v>
      </c>
      <c r="I119" s="170"/>
      <c r="J119" s="170"/>
      <c r="K119" s="170"/>
      <c r="L119" s="348" t="str">
        <f>IF(Daten!$A$272=1,E119,IF(Daten!$A$273=1,F119,IF(Daten!$A$274=1,G119,IF(Daten!$A$275=1,Mietstufenzuordnung!H119,"nV"))))</f>
        <v>nV</v>
      </c>
    </row>
    <row r="120" spans="1:12" x14ac:dyDescent="0.25">
      <c r="A120" s="167">
        <v>116</v>
      </c>
      <c r="B120" s="168" t="s">
        <v>226</v>
      </c>
      <c r="C120" s="169" t="s">
        <v>227</v>
      </c>
      <c r="D120" s="169" t="s">
        <v>333</v>
      </c>
      <c r="E120" s="170">
        <v>4</v>
      </c>
      <c r="F120" s="170">
        <v>1</v>
      </c>
      <c r="G120" s="170">
        <v>2</v>
      </c>
      <c r="H120" s="170">
        <v>2</v>
      </c>
      <c r="I120" s="170"/>
      <c r="J120" s="170"/>
      <c r="K120" s="170"/>
      <c r="L120" s="348" t="str">
        <f>IF(Daten!$A$272=1,E120,IF(Daten!$A$273=1,F120,IF(Daten!$A$274=1,G120,IF(Daten!$A$275=1,Mietstufenzuordnung!H120,"nV"))))</f>
        <v>nV</v>
      </c>
    </row>
    <row r="121" spans="1:12" x14ac:dyDescent="0.25">
      <c r="A121" s="167">
        <v>117</v>
      </c>
      <c r="B121" s="168" t="s">
        <v>228</v>
      </c>
      <c r="C121" s="169" t="s">
        <v>229</v>
      </c>
      <c r="D121" s="169" t="s">
        <v>333</v>
      </c>
      <c r="E121" s="170">
        <v>5</v>
      </c>
      <c r="F121" s="170">
        <v>1</v>
      </c>
      <c r="G121" s="170">
        <v>1</v>
      </c>
      <c r="H121" s="170">
        <v>4</v>
      </c>
      <c r="I121" s="170"/>
      <c r="J121" s="170"/>
      <c r="K121" s="170"/>
      <c r="L121" s="348" t="str">
        <f>IF(Daten!$A$272=1,E121,IF(Daten!$A$273=1,F121,IF(Daten!$A$274=1,G121,IF(Daten!$A$275=1,Mietstufenzuordnung!H121,"nV"))))</f>
        <v>nV</v>
      </c>
    </row>
    <row r="122" spans="1:12" x14ac:dyDescent="0.25">
      <c r="A122" s="167">
        <v>118</v>
      </c>
      <c r="B122" s="168" t="s">
        <v>230</v>
      </c>
      <c r="C122" s="169" t="s">
        <v>231</v>
      </c>
      <c r="D122" s="169" t="s">
        <v>333</v>
      </c>
      <c r="E122" s="170">
        <v>3</v>
      </c>
      <c r="F122" s="170">
        <v>1</v>
      </c>
      <c r="G122" s="170">
        <v>1</v>
      </c>
      <c r="H122" s="170">
        <v>3</v>
      </c>
      <c r="I122" s="170"/>
      <c r="J122" s="170"/>
      <c r="K122" s="170"/>
      <c r="L122" s="348" t="str">
        <f>IF(Daten!$A$272=1,E122,IF(Daten!$A$273=1,F122,IF(Daten!$A$274=1,G122,IF(Daten!$A$275=1,Mietstufenzuordnung!H122,"nV"))))</f>
        <v>nV</v>
      </c>
    </row>
    <row r="123" spans="1:12" x14ac:dyDescent="0.25">
      <c r="A123" s="167">
        <v>119</v>
      </c>
      <c r="B123" s="168" t="s">
        <v>232</v>
      </c>
      <c r="C123" s="169" t="s">
        <v>233</v>
      </c>
      <c r="D123" s="169" t="s">
        <v>333</v>
      </c>
      <c r="E123" s="170">
        <v>4</v>
      </c>
      <c r="F123" s="170">
        <v>1</v>
      </c>
      <c r="G123" s="170">
        <v>1</v>
      </c>
      <c r="H123" s="170">
        <v>2</v>
      </c>
      <c r="I123" s="170"/>
      <c r="J123" s="170"/>
      <c r="K123" s="170"/>
      <c r="L123" s="348" t="str">
        <f>IF(Daten!$A$272=1,E123,IF(Daten!$A$273=1,F123,IF(Daten!$A$274=1,G123,IF(Daten!$A$275=1,Mietstufenzuordnung!H123,"nV"))))</f>
        <v>nV</v>
      </c>
    </row>
    <row r="124" spans="1:12" x14ac:dyDescent="0.25">
      <c r="A124" s="167">
        <v>120</v>
      </c>
      <c r="B124" s="168" t="s">
        <v>234</v>
      </c>
      <c r="C124" s="169" t="s">
        <v>235</v>
      </c>
      <c r="D124" s="169" t="s">
        <v>333</v>
      </c>
      <c r="E124" s="170">
        <v>4</v>
      </c>
      <c r="F124" s="170">
        <v>1</v>
      </c>
      <c r="G124" s="170">
        <v>1</v>
      </c>
      <c r="H124" s="170">
        <v>2</v>
      </c>
      <c r="I124" s="170"/>
      <c r="J124" s="170"/>
      <c r="K124" s="170"/>
      <c r="L124" s="348" t="str">
        <f>IF(Daten!$A$272=1,E124,IF(Daten!$A$273=1,F124,IF(Daten!$A$274=1,G124,IF(Daten!$A$275=1,Mietstufenzuordnung!H124,"nV"))))</f>
        <v>nV</v>
      </c>
    </row>
    <row r="125" spans="1:12" x14ac:dyDescent="0.25">
      <c r="A125" s="167">
        <v>121</v>
      </c>
      <c r="B125" s="168" t="s">
        <v>236</v>
      </c>
      <c r="C125" s="169" t="s">
        <v>237</v>
      </c>
      <c r="D125" s="169" t="s">
        <v>333</v>
      </c>
      <c r="E125" s="170">
        <v>2</v>
      </c>
      <c r="F125" s="170">
        <v>3</v>
      </c>
      <c r="G125" s="170">
        <v>3</v>
      </c>
      <c r="H125" s="170">
        <v>2</v>
      </c>
      <c r="I125" s="170"/>
      <c r="J125" s="170"/>
      <c r="K125" s="170"/>
      <c r="L125" s="348" t="str">
        <f>IF(Daten!$A$272=1,E125,IF(Daten!$A$273=1,F125,IF(Daten!$A$274=1,G125,IF(Daten!$A$275=1,Mietstufenzuordnung!H125,"nV"))))</f>
        <v>nV</v>
      </c>
    </row>
    <row r="126" spans="1:12" x14ac:dyDescent="0.25">
      <c r="A126" s="167">
        <v>122</v>
      </c>
      <c r="B126" s="168" t="s">
        <v>238</v>
      </c>
      <c r="C126" s="169" t="s">
        <v>239</v>
      </c>
      <c r="D126" s="169" t="s">
        <v>333</v>
      </c>
      <c r="E126" s="170">
        <v>3</v>
      </c>
      <c r="F126" s="170">
        <v>1</v>
      </c>
      <c r="G126" s="170">
        <v>1</v>
      </c>
      <c r="H126" s="170">
        <v>3</v>
      </c>
      <c r="I126" s="170"/>
      <c r="J126" s="170"/>
      <c r="K126" s="170"/>
      <c r="L126" s="348" t="str">
        <f>IF(Daten!$A$272=1,E126,IF(Daten!$A$273=1,F126,IF(Daten!$A$274=1,G126,IF(Daten!$A$275=1,Mietstufenzuordnung!H126,"nV"))))</f>
        <v>nV</v>
      </c>
    </row>
    <row r="127" spans="1:12" x14ac:dyDescent="0.25">
      <c r="A127" s="167">
        <v>123</v>
      </c>
      <c r="B127" s="168" t="s">
        <v>240</v>
      </c>
      <c r="C127" s="169" t="s">
        <v>241</v>
      </c>
      <c r="D127" s="169" t="s">
        <v>333</v>
      </c>
      <c r="E127" s="170">
        <v>4</v>
      </c>
      <c r="F127" s="170">
        <v>1</v>
      </c>
      <c r="G127" s="170">
        <v>1</v>
      </c>
      <c r="H127" s="170">
        <v>2</v>
      </c>
      <c r="I127" s="170"/>
      <c r="J127" s="170"/>
      <c r="K127" s="170"/>
      <c r="L127" s="348" t="str">
        <f>IF(Daten!$A$272=1,E127,IF(Daten!$A$273=1,F127,IF(Daten!$A$274=1,G127,IF(Daten!$A$275=1,Mietstufenzuordnung!H127,"nV"))))</f>
        <v>nV</v>
      </c>
    </row>
    <row r="128" spans="1:12" x14ac:dyDescent="0.25">
      <c r="A128" s="167">
        <v>124</v>
      </c>
      <c r="B128" s="168" t="s">
        <v>242</v>
      </c>
      <c r="C128" s="169" t="s">
        <v>243</v>
      </c>
      <c r="D128" s="169" t="s">
        <v>333</v>
      </c>
      <c r="E128" s="170">
        <v>4</v>
      </c>
      <c r="F128" s="170">
        <v>1</v>
      </c>
      <c r="G128" s="170">
        <v>1</v>
      </c>
      <c r="H128" s="170">
        <v>2</v>
      </c>
      <c r="I128" s="170"/>
      <c r="J128" s="170"/>
      <c r="K128" s="170"/>
      <c r="L128" s="348" t="str">
        <f>IF(Daten!$A$272=1,E128,IF(Daten!$A$273=1,F128,IF(Daten!$A$274=1,G128,IF(Daten!$A$275=1,Mietstufenzuordnung!H128,"nV"))))</f>
        <v>nV</v>
      </c>
    </row>
    <row r="129" spans="1:12" x14ac:dyDescent="0.25">
      <c r="A129" s="167">
        <v>125</v>
      </c>
      <c r="B129" s="168" t="s">
        <v>244</v>
      </c>
      <c r="C129" s="169" t="s">
        <v>245</v>
      </c>
      <c r="D129" s="169" t="s">
        <v>333</v>
      </c>
      <c r="E129" s="170">
        <v>5</v>
      </c>
      <c r="F129" s="170">
        <v>1</v>
      </c>
      <c r="G129" s="170">
        <v>1</v>
      </c>
      <c r="H129" s="170">
        <v>4</v>
      </c>
      <c r="I129" s="170"/>
      <c r="J129" s="170"/>
      <c r="K129" s="170"/>
      <c r="L129" s="348" t="str">
        <f>IF(Daten!$A$272=1,E129,IF(Daten!$A$273=1,F129,IF(Daten!$A$274=1,G129,IF(Daten!$A$275=1,Mietstufenzuordnung!H129,"nV"))))</f>
        <v>nV</v>
      </c>
    </row>
    <row r="130" spans="1:12" x14ac:dyDescent="0.25">
      <c r="A130" s="167">
        <v>126</v>
      </c>
      <c r="B130" s="168" t="s">
        <v>246</v>
      </c>
      <c r="C130" s="169" t="s">
        <v>247</v>
      </c>
      <c r="D130" s="169" t="s">
        <v>333</v>
      </c>
      <c r="E130" s="170">
        <v>5</v>
      </c>
      <c r="F130" s="170">
        <v>1</v>
      </c>
      <c r="G130" s="170">
        <v>1</v>
      </c>
      <c r="H130" s="170">
        <v>4</v>
      </c>
      <c r="I130" s="170"/>
      <c r="J130" s="170"/>
      <c r="K130" s="170"/>
      <c r="L130" s="348" t="str">
        <f>IF(Daten!$A$272=1,E130,IF(Daten!$A$273=1,F130,IF(Daten!$A$274=1,G130,IF(Daten!$A$275=1,Mietstufenzuordnung!H130,"nV"))))</f>
        <v>nV</v>
      </c>
    </row>
    <row r="131" spans="1:12" x14ac:dyDescent="0.25">
      <c r="A131" s="167">
        <v>127</v>
      </c>
      <c r="B131" s="168" t="s">
        <v>248</v>
      </c>
      <c r="C131" s="169" t="s">
        <v>249</v>
      </c>
      <c r="D131" s="169" t="s">
        <v>333</v>
      </c>
      <c r="E131" s="170">
        <v>4</v>
      </c>
      <c r="F131" s="170">
        <v>1</v>
      </c>
      <c r="G131" s="170">
        <v>1</v>
      </c>
      <c r="H131" s="170">
        <v>2</v>
      </c>
      <c r="I131" s="170"/>
      <c r="J131" s="170"/>
      <c r="K131" s="170"/>
      <c r="L131" s="348" t="str">
        <f>IF(Daten!$A$272=1,E131,IF(Daten!$A$273=1,F131,IF(Daten!$A$274=1,G131,IF(Daten!$A$275=1,Mietstufenzuordnung!H131,"nV"))))</f>
        <v>nV</v>
      </c>
    </row>
    <row r="132" spans="1:12" x14ac:dyDescent="0.25">
      <c r="A132" s="167">
        <v>128</v>
      </c>
      <c r="B132" s="168" t="s">
        <v>250</v>
      </c>
      <c r="C132" s="169" t="s">
        <v>251</v>
      </c>
      <c r="D132" s="169" t="s">
        <v>333</v>
      </c>
      <c r="E132" s="170">
        <v>3</v>
      </c>
      <c r="F132" s="170">
        <v>1</v>
      </c>
      <c r="G132" s="170">
        <v>1</v>
      </c>
      <c r="H132" s="170">
        <v>3</v>
      </c>
      <c r="I132" s="170"/>
      <c r="J132" s="170"/>
      <c r="K132" s="170"/>
      <c r="L132" s="348" t="str">
        <f>IF(Daten!$A$272=1,E132,IF(Daten!$A$273=1,F132,IF(Daten!$A$274=1,G132,IF(Daten!$A$275=1,Mietstufenzuordnung!H132,"nV"))))</f>
        <v>nV</v>
      </c>
    </row>
    <row r="133" spans="1:12" x14ac:dyDescent="0.25">
      <c r="A133" s="167">
        <v>129</v>
      </c>
      <c r="B133" s="168" t="s">
        <v>341</v>
      </c>
      <c r="C133" s="169" t="s">
        <v>338</v>
      </c>
      <c r="D133" s="169" t="s">
        <v>333</v>
      </c>
      <c r="E133" s="170">
        <v>4</v>
      </c>
      <c r="F133" s="170">
        <v>1</v>
      </c>
      <c r="G133" s="170">
        <v>1</v>
      </c>
      <c r="H133" s="170">
        <v>2</v>
      </c>
      <c r="I133" s="170"/>
      <c r="J133" s="170"/>
      <c r="K133" s="170"/>
      <c r="L133" s="348" t="str">
        <f>IF(Daten!$A$272=1,E133,IF(Daten!$A$273=1,F133,IF(Daten!$A$274=1,G133,IF(Daten!$A$275=1,Mietstufenzuordnung!H133,"nV"))))</f>
        <v>nV</v>
      </c>
    </row>
    <row r="134" spans="1:12" x14ac:dyDescent="0.25">
      <c r="A134" s="167">
        <v>130</v>
      </c>
      <c r="B134" s="168" t="s">
        <v>252</v>
      </c>
      <c r="C134" s="169" t="s">
        <v>253</v>
      </c>
      <c r="D134" s="169" t="s">
        <v>333</v>
      </c>
      <c r="E134" s="170">
        <v>5</v>
      </c>
      <c r="F134" s="170">
        <v>1</v>
      </c>
      <c r="G134" s="170">
        <v>1</v>
      </c>
      <c r="H134" s="170">
        <v>4</v>
      </c>
      <c r="I134" s="170"/>
      <c r="J134" s="170"/>
      <c r="K134" s="170"/>
      <c r="L134" s="348" t="str">
        <f>IF(Daten!$A$272=1,E134,IF(Daten!$A$273=1,F134,IF(Daten!$A$274=1,G134,IF(Daten!$A$275=1,Mietstufenzuordnung!H134,"nV"))))</f>
        <v>nV</v>
      </c>
    </row>
    <row r="135" spans="1:12" x14ac:dyDescent="0.25">
      <c r="A135" s="167">
        <v>131</v>
      </c>
      <c r="B135" s="168" t="s">
        <v>254</v>
      </c>
      <c r="C135" s="169" t="s">
        <v>255</v>
      </c>
      <c r="D135" s="169" t="s">
        <v>333</v>
      </c>
      <c r="E135" s="170">
        <v>5</v>
      </c>
      <c r="F135" s="170">
        <v>1</v>
      </c>
      <c r="G135" s="170">
        <v>1</v>
      </c>
      <c r="H135" s="170">
        <v>4</v>
      </c>
      <c r="I135" s="170"/>
      <c r="J135" s="170"/>
      <c r="K135" s="170"/>
      <c r="L135" s="348" t="str">
        <f>IF(Daten!$A$272=1,E135,IF(Daten!$A$273=1,F135,IF(Daten!$A$274=1,G135,IF(Daten!$A$275=1,Mietstufenzuordnung!H135,"nV"))))</f>
        <v>nV</v>
      </c>
    </row>
    <row r="136" spans="1:12" x14ac:dyDescent="0.25">
      <c r="A136" s="167">
        <v>132</v>
      </c>
      <c r="B136" s="172" t="s">
        <v>256</v>
      </c>
      <c r="C136" s="173" t="s">
        <v>257</v>
      </c>
      <c r="D136" s="169" t="s">
        <v>333</v>
      </c>
      <c r="E136" s="170">
        <v>1</v>
      </c>
      <c r="F136" s="170">
        <v>4</v>
      </c>
      <c r="G136" s="170">
        <v>4</v>
      </c>
      <c r="H136" s="170">
        <v>1</v>
      </c>
      <c r="I136" s="170"/>
      <c r="J136" s="170"/>
      <c r="K136" s="170"/>
      <c r="L136" s="348" t="str">
        <f>IF(Daten!$A$272=1,E136,IF(Daten!$A$273=1,F136,IF(Daten!$A$274=1,G136,IF(Daten!$A$275=1,Mietstufenzuordnung!H136,"nV"))))</f>
        <v>nV</v>
      </c>
    </row>
    <row r="137" spans="1:12" x14ac:dyDescent="0.25">
      <c r="A137" s="167">
        <v>133</v>
      </c>
      <c r="B137" s="172" t="s">
        <v>258</v>
      </c>
      <c r="C137" s="169" t="s">
        <v>259</v>
      </c>
      <c r="D137" s="169" t="s">
        <v>333</v>
      </c>
      <c r="E137" s="170">
        <v>6</v>
      </c>
      <c r="F137" s="170">
        <v>1</v>
      </c>
      <c r="G137" s="170">
        <v>1</v>
      </c>
      <c r="H137" s="170">
        <v>5</v>
      </c>
      <c r="I137" s="170"/>
      <c r="J137" s="170"/>
      <c r="K137" s="170"/>
      <c r="L137" s="348" t="str">
        <f>IF(Daten!$A$272=1,E137,IF(Daten!$A$273=1,F137,IF(Daten!$A$274=1,G137,IF(Daten!$A$275=1,Mietstufenzuordnung!H137,"nV"))))</f>
        <v>nV</v>
      </c>
    </row>
    <row r="138" spans="1:12" x14ac:dyDescent="0.25">
      <c r="A138" s="167">
        <v>134</v>
      </c>
      <c r="B138" s="172" t="s">
        <v>260</v>
      </c>
      <c r="C138" s="173" t="s">
        <v>261</v>
      </c>
      <c r="D138" s="169" t="s">
        <v>333</v>
      </c>
      <c r="E138" s="170">
        <v>6</v>
      </c>
      <c r="F138" s="170">
        <v>1</v>
      </c>
      <c r="G138" s="170">
        <v>1</v>
      </c>
      <c r="H138" s="170">
        <v>5</v>
      </c>
      <c r="I138" s="170"/>
      <c r="J138" s="170"/>
      <c r="K138" s="170"/>
      <c r="L138" s="348" t="str">
        <f>IF(Daten!$A$272=1,E138,IF(Daten!$A$273=1,F138,IF(Daten!$A$274=1,G138,IF(Daten!$A$275=1,Mietstufenzuordnung!H138,"nV"))))</f>
        <v>nV</v>
      </c>
    </row>
    <row r="139" spans="1:12" x14ac:dyDescent="0.25">
      <c r="A139" s="167">
        <v>135</v>
      </c>
      <c r="B139" s="172" t="s">
        <v>262</v>
      </c>
      <c r="C139" s="173" t="s">
        <v>263</v>
      </c>
      <c r="D139" s="169" t="s">
        <v>333</v>
      </c>
      <c r="E139" s="170">
        <v>6</v>
      </c>
      <c r="F139" s="170">
        <v>1</v>
      </c>
      <c r="G139" s="170">
        <v>1</v>
      </c>
      <c r="H139" s="170">
        <v>5</v>
      </c>
      <c r="I139" s="170"/>
      <c r="J139" s="170"/>
      <c r="K139" s="170"/>
      <c r="L139" s="348" t="str">
        <f>IF(Daten!$A$272=1,E139,IF(Daten!$A$273=1,F139,IF(Daten!$A$274=1,G139,IF(Daten!$A$275=1,Mietstufenzuordnung!H139,"nV"))))</f>
        <v>nV</v>
      </c>
    </row>
    <row r="140" spans="1:12" x14ac:dyDescent="0.25">
      <c r="A140" s="167">
        <v>136</v>
      </c>
      <c r="B140" s="172" t="s">
        <v>264</v>
      </c>
      <c r="C140" s="173" t="s">
        <v>265</v>
      </c>
      <c r="D140" s="169" t="s">
        <v>333</v>
      </c>
      <c r="E140" s="170">
        <v>6</v>
      </c>
      <c r="F140" s="170">
        <v>1</v>
      </c>
      <c r="G140" s="170">
        <v>1</v>
      </c>
      <c r="H140" s="170">
        <v>5</v>
      </c>
      <c r="I140" s="170"/>
      <c r="J140" s="170"/>
      <c r="K140" s="170"/>
      <c r="L140" s="348" t="str">
        <f>IF(Daten!$A$272=1,E140,IF(Daten!$A$273=1,F140,IF(Daten!$A$274=1,G140,IF(Daten!$A$275=1,Mietstufenzuordnung!H140,"nV"))))</f>
        <v>nV</v>
      </c>
    </row>
    <row r="141" spans="1:12" x14ac:dyDescent="0.25">
      <c r="A141" s="167">
        <v>137</v>
      </c>
      <c r="B141" s="172" t="s">
        <v>266</v>
      </c>
      <c r="C141" s="173" t="s">
        <v>267</v>
      </c>
      <c r="D141" s="169" t="s">
        <v>333</v>
      </c>
      <c r="E141" s="170">
        <v>6</v>
      </c>
      <c r="F141" s="170">
        <v>1</v>
      </c>
      <c r="G141" s="170">
        <v>1</v>
      </c>
      <c r="H141" s="170">
        <v>5</v>
      </c>
      <c r="I141" s="170"/>
      <c r="J141" s="170"/>
      <c r="K141" s="170"/>
      <c r="L141" s="348" t="str">
        <f>IF(Daten!$A$272=1,E141,IF(Daten!$A$273=1,F141,IF(Daten!$A$274=1,G141,IF(Daten!$A$275=1,Mietstufenzuordnung!H141,"nV"))))</f>
        <v>nV</v>
      </c>
    </row>
    <row r="142" spans="1:12" x14ac:dyDescent="0.25">
      <c r="A142" s="167">
        <v>138</v>
      </c>
      <c r="B142" s="172" t="s">
        <v>268</v>
      </c>
      <c r="C142" s="173" t="s">
        <v>269</v>
      </c>
      <c r="D142" s="169" t="s">
        <v>333</v>
      </c>
      <c r="E142" s="170">
        <v>6</v>
      </c>
      <c r="F142" s="170">
        <v>1</v>
      </c>
      <c r="G142" s="170">
        <v>1</v>
      </c>
      <c r="H142" s="170">
        <v>5</v>
      </c>
      <c r="I142" s="170"/>
      <c r="J142" s="170"/>
      <c r="K142" s="170"/>
      <c r="L142" s="348" t="str">
        <f>IF(Daten!$A$272=1,E142,IF(Daten!$A$273=1,F142,IF(Daten!$A$274=1,G142,IF(Daten!$A$275=1,Mietstufenzuordnung!H142,"nV"))))</f>
        <v>nV</v>
      </c>
    </row>
    <row r="143" spans="1:12" x14ac:dyDescent="0.25">
      <c r="A143" s="167">
        <v>139</v>
      </c>
      <c r="B143" s="172" t="s">
        <v>270</v>
      </c>
      <c r="C143" s="173" t="s">
        <v>271</v>
      </c>
      <c r="D143" s="169" t="s">
        <v>333</v>
      </c>
      <c r="E143" s="170">
        <v>6</v>
      </c>
      <c r="F143" s="170">
        <v>1</v>
      </c>
      <c r="G143" s="170">
        <v>1</v>
      </c>
      <c r="H143" s="170">
        <v>5</v>
      </c>
      <c r="I143" s="170"/>
      <c r="J143" s="170"/>
      <c r="K143" s="170"/>
      <c r="L143" s="348" t="str">
        <f>IF(Daten!$A$272=1,E143,IF(Daten!$A$273=1,F143,IF(Daten!$A$274=1,G143,IF(Daten!$A$275=1,Mietstufenzuordnung!H143,"nV"))))</f>
        <v>nV</v>
      </c>
    </row>
    <row r="144" spans="1:12" x14ac:dyDescent="0.25">
      <c r="A144" s="167">
        <v>140</v>
      </c>
      <c r="B144" s="172" t="s">
        <v>272</v>
      </c>
      <c r="C144" s="173" t="s">
        <v>273</v>
      </c>
      <c r="D144" s="169" t="s">
        <v>333</v>
      </c>
      <c r="E144" s="170">
        <v>6</v>
      </c>
      <c r="F144" s="170">
        <v>1</v>
      </c>
      <c r="G144" s="170">
        <v>1</v>
      </c>
      <c r="H144" s="170">
        <v>5</v>
      </c>
      <c r="I144" s="170"/>
      <c r="J144" s="170"/>
      <c r="K144" s="170"/>
      <c r="L144" s="348" t="str">
        <f>IF(Daten!$A$272=1,E144,IF(Daten!$A$273=1,F144,IF(Daten!$A$274=1,G144,IF(Daten!$A$275=1,Mietstufenzuordnung!H144,"nV"))))</f>
        <v>nV</v>
      </c>
    </row>
    <row r="145" spans="1:12" x14ac:dyDescent="0.25">
      <c r="A145" s="167">
        <v>141</v>
      </c>
      <c r="B145" s="172" t="s">
        <v>274</v>
      </c>
      <c r="C145" s="173" t="s">
        <v>275</v>
      </c>
      <c r="D145" s="169" t="s">
        <v>333</v>
      </c>
      <c r="E145" s="170">
        <v>6</v>
      </c>
      <c r="F145" s="170">
        <v>1</v>
      </c>
      <c r="G145" s="170">
        <v>1</v>
      </c>
      <c r="H145" s="170">
        <v>5</v>
      </c>
      <c r="I145" s="170"/>
      <c r="J145" s="170"/>
      <c r="K145" s="170"/>
      <c r="L145" s="348" t="str">
        <f>IF(Daten!$A$272=1,E145,IF(Daten!$A$273=1,F145,IF(Daten!$A$274=1,G145,IF(Daten!$A$275=1,Mietstufenzuordnung!H145,"nV"))))</f>
        <v>nV</v>
      </c>
    </row>
    <row r="146" spans="1:12" x14ac:dyDescent="0.25">
      <c r="A146" s="167">
        <v>142</v>
      </c>
      <c r="B146" s="172" t="s">
        <v>276</v>
      </c>
      <c r="C146" s="173" t="s">
        <v>277</v>
      </c>
      <c r="D146" s="169" t="s">
        <v>333</v>
      </c>
      <c r="E146" s="170">
        <v>6</v>
      </c>
      <c r="F146" s="170">
        <v>1</v>
      </c>
      <c r="G146" s="170">
        <v>1</v>
      </c>
      <c r="H146" s="170">
        <v>5</v>
      </c>
      <c r="I146" s="170"/>
      <c r="J146" s="170"/>
      <c r="K146" s="170"/>
      <c r="L146" s="348" t="str">
        <f>IF(Daten!$A$272=1,E146,IF(Daten!$A$273=1,F146,IF(Daten!$A$274=1,G146,IF(Daten!$A$275=1,Mietstufenzuordnung!H146,"nV"))))</f>
        <v>nV</v>
      </c>
    </row>
    <row r="147" spans="1:12" x14ac:dyDescent="0.25">
      <c r="A147" s="167">
        <v>143</v>
      </c>
      <c r="B147" s="172" t="s">
        <v>278</v>
      </c>
      <c r="C147" s="173" t="s">
        <v>279</v>
      </c>
      <c r="D147" s="169" t="s">
        <v>333</v>
      </c>
      <c r="E147" s="170">
        <v>6</v>
      </c>
      <c r="F147" s="170">
        <v>1</v>
      </c>
      <c r="G147" s="170">
        <v>1</v>
      </c>
      <c r="H147" s="170">
        <v>5</v>
      </c>
      <c r="I147" s="170"/>
      <c r="J147" s="170"/>
      <c r="K147" s="170"/>
      <c r="L147" s="348" t="str">
        <f>IF(Daten!$A$272=1,E147,IF(Daten!$A$273=1,F147,IF(Daten!$A$274=1,G147,IF(Daten!$A$275=1,Mietstufenzuordnung!H147,"nV"))))</f>
        <v>nV</v>
      </c>
    </row>
    <row r="148" spans="1:12" x14ac:dyDescent="0.25">
      <c r="A148" s="167">
        <v>144</v>
      </c>
      <c r="B148" s="172" t="s">
        <v>280</v>
      </c>
      <c r="C148" s="173" t="s">
        <v>281</v>
      </c>
      <c r="D148" s="169" t="s">
        <v>333</v>
      </c>
      <c r="E148" s="170">
        <v>6</v>
      </c>
      <c r="F148" s="170">
        <v>1</v>
      </c>
      <c r="G148" s="170">
        <v>1</v>
      </c>
      <c r="H148" s="170">
        <v>5</v>
      </c>
      <c r="I148" s="170"/>
      <c r="J148" s="170"/>
      <c r="K148" s="170"/>
      <c r="L148" s="348" t="str">
        <f>IF(Daten!$A$272=1,E148,IF(Daten!$A$273=1,F148,IF(Daten!$A$274=1,G148,IF(Daten!$A$275=1,Mietstufenzuordnung!H148,"nV"))))</f>
        <v>nV</v>
      </c>
    </row>
    <row r="149" spans="1:12" x14ac:dyDescent="0.25">
      <c r="A149" s="167">
        <v>145</v>
      </c>
      <c r="B149" s="172" t="s">
        <v>282</v>
      </c>
      <c r="C149" s="173" t="s">
        <v>283</v>
      </c>
      <c r="D149" s="169" t="s">
        <v>333</v>
      </c>
      <c r="E149" s="170">
        <v>6</v>
      </c>
      <c r="F149" s="170">
        <v>1</v>
      </c>
      <c r="G149" s="170">
        <v>1</v>
      </c>
      <c r="H149" s="170">
        <v>5</v>
      </c>
      <c r="I149" s="170"/>
      <c r="J149" s="170"/>
      <c r="K149" s="170"/>
      <c r="L149" s="348" t="str">
        <f>IF(Daten!$A$272=1,E149,IF(Daten!$A$273=1,F149,IF(Daten!$A$274=1,G149,IF(Daten!$A$275=1,Mietstufenzuordnung!H149,"nV"))))</f>
        <v>nV</v>
      </c>
    </row>
    <row r="150" spans="1:12" x14ac:dyDescent="0.25">
      <c r="A150" s="167">
        <v>146</v>
      </c>
      <c r="B150" s="172" t="s">
        <v>284</v>
      </c>
      <c r="C150" s="173" t="s">
        <v>285</v>
      </c>
      <c r="D150" s="169" t="s">
        <v>333</v>
      </c>
      <c r="E150" s="170">
        <v>6</v>
      </c>
      <c r="F150" s="170">
        <v>1</v>
      </c>
      <c r="G150" s="170">
        <v>1</v>
      </c>
      <c r="H150" s="170">
        <v>5</v>
      </c>
      <c r="I150" s="170"/>
      <c r="J150" s="170"/>
      <c r="K150" s="170"/>
      <c r="L150" s="348" t="str">
        <f>IF(Daten!$A$272=1,E150,IF(Daten!$A$273=1,F150,IF(Daten!$A$274=1,G150,IF(Daten!$A$275=1,Mietstufenzuordnung!H150,"nV"))))</f>
        <v>nV</v>
      </c>
    </row>
    <row r="151" spans="1:12" x14ac:dyDescent="0.25">
      <c r="A151" s="167">
        <v>147</v>
      </c>
      <c r="B151" s="172" t="s">
        <v>286</v>
      </c>
      <c r="C151" s="173" t="s">
        <v>287</v>
      </c>
      <c r="D151" s="169" t="s">
        <v>333</v>
      </c>
      <c r="E151" s="170">
        <v>6</v>
      </c>
      <c r="F151" s="170">
        <v>1</v>
      </c>
      <c r="G151" s="170">
        <v>1</v>
      </c>
      <c r="H151" s="170">
        <v>5</v>
      </c>
      <c r="I151" s="170"/>
      <c r="J151" s="170"/>
      <c r="K151" s="170"/>
      <c r="L151" s="348" t="str">
        <f>IF(Daten!$A$272=1,E151,IF(Daten!$A$273=1,F151,IF(Daten!$A$274=1,G151,IF(Daten!$A$275=1,Mietstufenzuordnung!H151,"nV"))))</f>
        <v>nV</v>
      </c>
    </row>
    <row r="152" spans="1:12" x14ac:dyDescent="0.25">
      <c r="A152" s="167">
        <v>148</v>
      </c>
      <c r="B152" s="172" t="s">
        <v>288</v>
      </c>
      <c r="C152" s="173" t="s">
        <v>289</v>
      </c>
      <c r="D152" s="169" t="s">
        <v>333</v>
      </c>
      <c r="E152" s="170">
        <v>6</v>
      </c>
      <c r="F152" s="170">
        <v>1</v>
      </c>
      <c r="G152" s="170">
        <v>1</v>
      </c>
      <c r="H152" s="170">
        <v>5</v>
      </c>
      <c r="I152" s="170"/>
      <c r="J152" s="170"/>
      <c r="K152" s="170"/>
      <c r="L152" s="348" t="str">
        <f>IF(Daten!$A$272=1,E152,IF(Daten!$A$273=1,F152,IF(Daten!$A$274=1,G152,IF(Daten!$A$275=1,Mietstufenzuordnung!H152,"nV"))))</f>
        <v>nV</v>
      </c>
    </row>
    <row r="153" spans="1:12" x14ac:dyDescent="0.25">
      <c r="A153" s="167">
        <v>149</v>
      </c>
      <c r="B153" s="172" t="s">
        <v>290</v>
      </c>
      <c r="C153" s="173" t="s">
        <v>291</v>
      </c>
      <c r="D153" s="169" t="s">
        <v>333</v>
      </c>
      <c r="E153" s="170">
        <v>6</v>
      </c>
      <c r="F153" s="170">
        <v>1</v>
      </c>
      <c r="G153" s="170">
        <v>1</v>
      </c>
      <c r="H153" s="170">
        <v>5</v>
      </c>
      <c r="I153" s="170"/>
      <c r="J153" s="170"/>
      <c r="K153" s="170"/>
      <c r="L153" s="348" t="str">
        <f>IF(Daten!$A$272=1,E153,IF(Daten!$A$273=1,F153,IF(Daten!$A$274=1,G153,IF(Daten!$A$275=1,Mietstufenzuordnung!H153,"nV"))))</f>
        <v>nV</v>
      </c>
    </row>
    <row r="154" spans="1:12" x14ac:dyDescent="0.25">
      <c r="A154" s="167">
        <v>150</v>
      </c>
      <c r="B154" s="172" t="s">
        <v>292</v>
      </c>
      <c r="C154" s="173" t="s">
        <v>293</v>
      </c>
      <c r="D154" s="169" t="s">
        <v>333</v>
      </c>
      <c r="E154" s="170">
        <v>6</v>
      </c>
      <c r="F154" s="170">
        <v>1</v>
      </c>
      <c r="G154" s="170">
        <v>1</v>
      </c>
      <c r="H154" s="170">
        <v>5</v>
      </c>
      <c r="I154" s="170"/>
      <c r="J154" s="170"/>
      <c r="K154" s="170"/>
      <c r="L154" s="348" t="str">
        <f>IF(Daten!$A$272=1,E154,IF(Daten!$A$273=1,F154,IF(Daten!$A$274=1,G154,IF(Daten!$A$275=1,Mietstufenzuordnung!H154,"nV"))))</f>
        <v>nV</v>
      </c>
    </row>
    <row r="155" spans="1:12" x14ac:dyDescent="0.25">
      <c r="A155" s="167">
        <v>151</v>
      </c>
      <c r="B155" s="172" t="s">
        <v>294</v>
      </c>
      <c r="C155" s="173" t="s">
        <v>295</v>
      </c>
      <c r="D155" s="169" t="s">
        <v>333</v>
      </c>
      <c r="E155" s="170">
        <v>6</v>
      </c>
      <c r="F155" s="170">
        <v>1</v>
      </c>
      <c r="G155" s="170">
        <v>1</v>
      </c>
      <c r="H155" s="170">
        <v>5</v>
      </c>
      <c r="I155" s="170"/>
      <c r="J155" s="170"/>
      <c r="K155" s="170"/>
      <c r="L155" s="348" t="str">
        <f>IF(Daten!$A$272=1,E155,IF(Daten!$A$273=1,F155,IF(Daten!$A$274=1,G155,IF(Daten!$A$275=1,Mietstufenzuordnung!H155,"nV"))))</f>
        <v>nV</v>
      </c>
    </row>
    <row r="156" spans="1:12" x14ac:dyDescent="0.25">
      <c r="A156" s="167">
        <v>152</v>
      </c>
      <c r="B156" s="172" t="s">
        <v>296</v>
      </c>
      <c r="C156" s="173" t="s">
        <v>297</v>
      </c>
      <c r="D156" s="169" t="s">
        <v>333</v>
      </c>
      <c r="E156" s="170">
        <v>6</v>
      </c>
      <c r="F156" s="170">
        <v>1</v>
      </c>
      <c r="G156" s="170">
        <v>1</v>
      </c>
      <c r="H156" s="170">
        <v>5</v>
      </c>
      <c r="I156" s="170"/>
      <c r="J156" s="170"/>
      <c r="K156" s="170"/>
      <c r="L156" s="348" t="str">
        <f>IF(Daten!$A$272=1,E156,IF(Daten!$A$273=1,F156,IF(Daten!$A$274=1,G156,IF(Daten!$A$275=1,Mietstufenzuordnung!H156,"nV"))))</f>
        <v>nV</v>
      </c>
    </row>
    <row r="157" spans="1:12" x14ac:dyDescent="0.25">
      <c r="A157" s="167">
        <v>153</v>
      </c>
      <c r="B157" s="172" t="s">
        <v>298</v>
      </c>
      <c r="C157" s="173" t="s">
        <v>299</v>
      </c>
      <c r="D157" s="169" t="s">
        <v>333</v>
      </c>
      <c r="E157" s="170">
        <v>6</v>
      </c>
      <c r="F157" s="170">
        <v>1</v>
      </c>
      <c r="G157" s="170">
        <v>1</v>
      </c>
      <c r="H157" s="170">
        <v>5</v>
      </c>
      <c r="I157" s="170"/>
      <c r="J157" s="170"/>
      <c r="K157" s="170"/>
      <c r="L157" s="348" t="str">
        <f>IF(Daten!$A$272=1,E157,IF(Daten!$A$273=1,F157,IF(Daten!$A$274=1,G157,IF(Daten!$A$275=1,Mietstufenzuordnung!H157,"nV"))))</f>
        <v>nV</v>
      </c>
    </row>
    <row r="158" spans="1:12" x14ac:dyDescent="0.25">
      <c r="A158" s="167">
        <v>154</v>
      </c>
      <c r="B158" s="172" t="s">
        <v>300</v>
      </c>
      <c r="C158" s="173" t="s">
        <v>301</v>
      </c>
      <c r="D158" s="169" t="s">
        <v>333</v>
      </c>
      <c r="E158" s="170">
        <v>6</v>
      </c>
      <c r="F158" s="170">
        <v>1</v>
      </c>
      <c r="G158" s="170">
        <v>1</v>
      </c>
      <c r="H158" s="170">
        <v>5</v>
      </c>
      <c r="I158" s="170"/>
      <c r="J158" s="170"/>
      <c r="K158" s="170"/>
      <c r="L158" s="348" t="str">
        <f>IF(Daten!$A$272=1,E158,IF(Daten!$A$273=1,F158,IF(Daten!$A$274=1,G158,IF(Daten!$A$275=1,Mietstufenzuordnung!H158,"nV"))))</f>
        <v>nV</v>
      </c>
    </row>
    <row r="159" spans="1:12" x14ac:dyDescent="0.25">
      <c r="A159" s="167">
        <v>155</v>
      </c>
      <c r="B159" s="172" t="s">
        <v>302</v>
      </c>
      <c r="C159" s="173" t="s">
        <v>303</v>
      </c>
      <c r="D159" s="169" t="s">
        <v>333</v>
      </c>
      <c r="E159" s="170">
        <v>6</v>
      </c>
      <c r="F159" s="170">
        <v>1</v>
      </c>
      <c r="G159" s="170">
        <v>1</v>
      </c>
      <c r="H159" s="170">
        <v>5</v>
      </c>
      <c r="I159" s="170"/>
      <c r="J159" s="170"/>
      <c r="K159" s="170"/>
      <c r="L159" s="348" t="str">
        <f>IF(Daten!$A$272=1,E159,IF(Daten!$A$273=1,F159,IF(Daten!$A$274=1,G159,IF(Daten!$A$275=1,Mietstufenzuordnung!H159,"nV"))))</f>
        <v>nV</v>
      </c>
    </row>
    <row r="160" spans="1:12" x14ac:dyDescent="0.25">
      <c r="A160" s="167">
        <v>156</v>
      </c>
      <c r="B160" s="172" t="s">
        <v>304</v>
      </c>
      <c r="C160" s="173" t="s">
        <v>362</v>
      </c>
      <c r="D160" s="169" t="s">
        <v>333</v>
      </c>
      <c r="E160" s="170">
        <v>6</v>
      </c>
      <c r="F160" s="170">
        <v>1</v>
      </c>
      <c r="G160" s="170">
        <v>1</v>
      </c>
      <c r="H160" s="170">
        <v>5</v>
      </c>
      <c r="I160" s="170"/>
      <c r="J160" s="170"/>
      <c r="K160" s="170"/>
      <c r="L160" s="348" t="str">
        <f>IF(Daten!$A$272=1,E160,IF(Daten!$A$273=1,F160,IF(Daten!$A$274=1,G160,IF(Daten!$A$275=1,Mietstufenzuordnung!H160,"nV"))))</f>
        <v>nV</v>
      </c>
    </row>
    <row r="161" spans="1:12" x14ac:dyDescent="0.25">
      <c r="A161" s="167">
        <v>157</v>
      </c>
      <c r="B161" s="172" t="s">
        <v>305</v>
      </c>
      <c r="C161" s="173" t="s">
        <v>306</v>
      </c>
      <c r="D161" s="169" t="s">
        <v>333</v>
      </c>
      <c r="E161" s="170">
        <v>6</v>
      </c>
      <c r="F161" s="170">
        <v>1</v>
      </c>
      <c r="G161" s="170">
        <v>1</v>
      </c>
      <c r="H161" s="170">
        <v>5</v>
      </c>
      <c r="I161" s="170"/>
      <c r="J161" s="170"/>
      <c r="K161" s="170"/>
      <c r="L161" s="348" t="str">
        <f>IF(Daten!$A$272=1,E161,IF(Daten!$A$273=1,F161,IF(Daten!$A$274=1,G161,IF(Daten!$A$275=1,Mietstufenzuordnung!H161,"nV"))))</f>
        <v>nV</v>
      </c>
    </row>
    <row r="162" spans="1:12" x14ac:dyDescent="0.25">
      <c r="A162" s="167">
        <v>158</v>
      </c>
      <c r="B162" s="172" t="s">
        <v>307</v>
      </c>
      <c r="C162" s="173" t="s">
        <v>308</v>
      </c>
      <c r="D162" s="169" t="s">
        <v>333</v>
      </c>
      <c r="E162" s="170">
        <v>6</v>
      </c>
      <c r="F162" s="170">
        <v>1</v>
      </c>
      <c r="G162" s="170">
        <v>1</v>
      </c>
      <c r="H162" s="170">
        <v>5</v>
      </c>
      <c r="I162" s="170"/>
      <c r="J162" s="170"/>
      <c r="K162" s="170"/>
      <c r="L162" s="348" t="str">
        <f>IF(Daten!$A$272=1,E162,IF(Daten!$A$273=1,F162,IF(Daten!$A$274=1,G162,IF(Daten!$A$275=1,Mietstufenzuordnung!H162,"nV"))))</f>
        <v>nV</v>
      </c>
    </row>
    <row r="163" spans="1:12" x14ac:dyDescent="0.25">
      <c r="A163" s="167">
        <v>159</v>
      </c>
      <c r="B163" s="172" t="s">
        <v>309</v>
      </c>
      <c r="C163" s="173" t="s">
        <v>310</v>
      </c>
      <c r="D163" s="169" t="s">
        <v>333</v>
      </c>
      <c r="E163" s="170">
        <v>6</v>
      </c>
      <c r="F163" s="170">
        <v>1</v>
      </c>
      <c r="G163" s="170">
        <v>1</v>
      </c>
      <c r="H163" s="170">
        <v>5</v>
      </c>
      <c r="I163" s="170"/>
      <c r="J163" s="170"/>
      <c r="K163" s="170"/>
      <c r="L163" s="348" t="str">
        <f>IF(Daten!$A$272=1,E163,IF(Daten!$A$273=1,F163,IF(Daten!$A$274=1,G163,IF(Daten!$A$275=1,Mietstufenzuordnung!H163,"nV"))))</f>
        <v>nV</v>
      </c>
    </row>
    <row r="164" spans="1:12" x14ac:dyDescent="0.25">
      <c r="A164" s="167">
        <v>160</v>
      </c>
      <c r="B164" s="172" t="s">
        <v>311</v>
      </c>
      <c r="C164" s="173" t="s">
        <v>312</v>
      </c>
      <c r="D164" s="169" t="s">
        <v>333</v>
      </c>
      <c r="E164" s="170">
        <v>6</v>
      </c>
      <c r="F164" s="170">
        <v>1</v>
      </c>
      <c r="G164" s="170">
        <v>1</v>
      </c>
      <c r="H164" s="170">
        <v>5</v>
      </c>
      <c r="I164" s="170"/>
      <c r="J164" s="170"/>
      <c r="K164" s="170"/>
      <c r="L164" s="348" t="str">
        <f>IF(Daten!$A$272=1,E164,IF(Daten!$A$273=1,F164,IF(Daten!$A$274=1,G164,IF(Daten!$A$275=1,Mietstufenzuordnung!H164,"nV"))))</f>
        <v>nV</v>
      </c>
    </row>
    <row r="165" spans="1:12" x14ac:dyDescent="0.25">
      <c r="A165" s="167">
        <v>161</v>
      </c>
      <c r="B165" s="172" t="s">
        <v>313</v>
      </c>
      <c r="C165" s="173" t="s">
        <v>314</v>
      </c>
      <c r="D165" s="169" t="s">
        <v>333</v>
      </c>
      <c r="E165" s="170">
        <v>6</v>
      </c>
      <c r="F165" s="170">
        <v>1</v>
      </c>
      <c r="G165" s="170">
        <v>1</v>
      </c>
      <c r="H165" s="170">
        <v>5</v>
      </c>
      <c r="I165" s="170"/>
      <c r="J165" s="170"/>
      <c r="K165" s="170"/>
      <c r="L165" s="348" t="str">
        <f>IF(Daten!$A$272=1,E165,IF(Daten!$A$273=1,F165,IF(Daten!$A$274=1,G165,IF(Daten!$A$275=1,Mietstufenzuordnung!H165,"nV"))))</f>
        <v>nV</v>
      </c>
    </row>
    <row r="166" spans="1:12" x14ac:dyDescent="0.25">
      <c r="A166" s="167">
        <v>162</v>
      </c>
      <c r="B166" s="172" t="s">
        <v>315</v>
      </c>
      <c r="C166" s="173" t="s">
        <v>316</v>
      </c>
      <c r="D166" s="169" t="s">
        <v>333</v>
      </c>
      <c r="E166" s="170">
        <v>6</v>
      </c>
      <c r="F166" s="170">
        <v>1</v>
      </c>
      <c r="G166" s="170">
        <v>1</v>
      </c>
      <c r="H166" s="170">
        <v>5</v>
      </c>
      <c r="I166" s="170"/>
      <c r="J166" s="170"/>
      <c r="K166" s="170"/>
      <c r="L166" s="348" t="str">
        <f>IF(Daten!$A$272=1,E166,IF(Daten!$A$273=1,F166,IF(Daten!$A$274=1,G166,IF(Daten!$A$275=1,Mietstufenzuordnung!H166,"nV"))))</f>
        <v>nV</v>
      </c>
    </row>
    <row r="167" spans="1:12" x14ac:dyDescent="0.25">
      <c r="A167" s="167">
        <v>163</v>
      </c>
      <c r="B167" s="172" t="s">
        <v>317</v>
      </c>
      <c r="C167" s="173" t="s">
        <v>318</v>
      </c>
      <c r="D167" s="169" t="s">
        <v>333</v>
      </c>
      <c r="E167" s="170">
        <v>6</v>
      </c>
      <c r="F167" s="170">
        <v>1</v>
      </c>
      <c r="G167" s="170">
        <v>1</v>
      </c>
      <c r="H167" s="170">
        <v>5</v>
      </c>
      <c r="I167" s="170"/>
      <c r="J167" s="170"/>
      <c r="K167" s="170"/>
      <c r="L167" s="348" t="str">
        <f>IF(Daten!$A$272=1,E167,IF(Daten!$A$273=1,F167,IF(Daten!$A$274=1,G167,IF(Daten!$A$275=1,Mietstufenzuordnung!H167,"nV"))))</f>
        <v>nV</v>
      </c>
    </row>
    <row r="168" spans="1:12" x14ac:dyDescent="0.25">
      <c r="A168" s="167">
        <v>164</v>
      </c>
      <c r="B168" s="172" t="s">
        <v>319</v>
      </c>
      <c r="C168" s="173" t="s">
        <v>320</v>
      </c>
      <c r="D168" s="169" t="s">
        <v>333</v>
      </c>
      <c r="E168" s="170">
        <v>6</v>
      </c>
      <c r="F168" s="170">
        <v>1</v>
      </c>
      <c r="G168" s="170">
        <v>1</v>
      </c>
      <c r="H168" s="170">
        <v>5</v>
      </c>
      <c r="I168" s="170"/>
      <c r="J168" s="170"/>
      <c r="K168" s="170"/>
      <c r="L168" s="348" t="str">
        <f>IF(Daten!$A$272=1,E168,IF(Daten!$A$273=1,F168,IF(Daten!$A$274=1,G168,IF(Daten!$A$275=1,Mietstufenzuordnung!H168,"nV"))))</f>
        <v>nV</v>
      </c>
    </row>
    <row r="169" spans="1:12" x14ac:dyDescent="0.25">
      <c r="A169" s="167">
        <v>165</v>
      </c>
      <c r="B169" s="172" t="s">
        <v>321</v>
      </c>
      <c r="C169" s="173" t="s">
        <v>322</v>
      </c>
      <c r="D169" s="169" t="s">
        <v>333</v>
      </c>
      <c r="E169" s="170">
        <v>6</v>
      </c>
      <c r="F169" s="170">
        <v>1</v>
      </c>
      <c r="G169" s="170">
        <v>1</v>
      </c>
      <c r="H169" s="170">
        <v>5</v>
      </c>
      <c r="I169" s="170"/>
      <c r="J169" s="170"/>
      <c r="K169" s="170"/>
      <c r="L169" s="348" t="str">
        <f>IF(Daten!$A$272=1,E169,IF(Daten!$A$273=1,F169,IF(Daten!$A$274=1,G169,IF(Daten!$A$275=1,Mietstufenzuordnung!H169,"nV"))))</f>
        <v>nV</v>
      </c>
    </row>
    <row r="170" spans="1:12" x14ac:dyDescent="0.25">
      <c r="A170" s="167">
        <v>166</v>
      </c>
      <c r="B170" s="172" t="s">
        <v>323</v>
      </c>
      <c r="C170" s="173" t="s">
        <v>324</v>
      </c>
      <c r="D170" s="169" t="s">
        <v>333</v>
      </c>
      <c r="E170" s="170">
        <v>6</v>
      </c>
      <c r="F170" s="170">
        <v>1</v>
      </c>
      <c r="G170" s="170">
        <v>1</v>
      </c>
      <c r="H170" s="170">
        <v>5</v>
      </c>
      <c r="I170" s="170"/>
      <c r="J170" s="170"/>
      <c r="K170" s="170"/>
      <c r="L170" s="348" t="str">
        <f>IF(Daten!$A$272=1,E170,IF(Daten!$A$273=1,F170,IF(Daten!$A$274=1,G170,IF(Daten!$A$275=1,Mietstufenzuordnung!H170,"nV"))))</f>
        <v>nV</v>
      </c>
    </row>
    <row r="171" spans="1:12" x14ac:dyDescent="0.25">
      <c r="A171" s="167">
        <v>167</v>
      </c>
      <c r="B171" s="172" t="s">
        <v>325</v>
      </c>
      <c r="C171" s="173" t="s">
        <v>326</v>
      </c>
      <c r="D171" s="169" t="s">
        <v>333</v>
      </c>
      <c r="E171" s="170">
        <v>6</v>
      </c>
      <c r="F171" s="170">
        <v>1</v>
      </c>
      <c r="G171" s="170">
        <v>1</v>
      </c>
      <c r="H171" s="170">
        <v>5</v>
      </c>
      <c r="I171" s="170"/>
      <c r="J171" s="170"/>
      <c r="K171" s="170"/>
      <c r="L171" s="348" t="str">
        <f>IF(Daten!$A$272=1,E171,IF(Daten!$A$273=1,F171,IF(Daten!$A$274=1,G171,IF(Daten!$A$275=1,Mietstufenzuordnung!H171,"nV"))))</f>
        <v>nV</v>
      </c>
    </row>
    <row r="172" spans="1:12" x14ac:dyDescent="0.25">
      <c r="A172" s="167">
        <v>168</v>
      </c>
      <c r="B172" s="172" t="s">
        <v>327</v>
      </c>
      <c r="C172" s="173" t="s">
        <v>328</v>
      </c>
      <c r="D172" s="169" t="s">
        <v>333</v>
      </c>
      <c r="E172" s="170">
        <v>6</v>
      </c>
      <c r="F172" s="170">
        <v>1</v>
      </c>
      <c r="G172" s="170">
        <v>1</v>
      </c>
      <c r="H172" s="170">
        <v>5</v>
      </c>
      <c r="I172" s="170"/>
      <c r="J172" s="170"/>
      <c r="K172" s="170"/>
      <c r="L172" s="348" t="str">
        <f>IF(Daten!$A$272=1,E172,IF(Daten!$A$273=1,F172,IF(Daten!$A$274=1,G172,IF(Daten!$A$275=1,Mietstufenzuordnung!H172,"nV"))))</f>
        <v>nV</v>
      </c>
    </row>
    <row r="173" spans="1:12" x14ac:dyDescent="0.25">
      <c r="A173" s="167">
        <v>169</v>
      </c>
      <c r="B173" s="172" t="s">
        <v>329</v>
      </c>
      <c r="C173" s="173" t="s">
        <v>330</v>
      </c>
      <c r="D173" s="169" t="s">
        <v>333</v>
      </c>
      <c r="E173" s="170">
        <v>6</v>
      </c>
      <c r="F173" s="170">
        <v>1</v>
      </c>
      <c r="G173" s="170">
        <v>1</v>
      </c>
      <c r="H173" s="170">
        <v>5</v>
      </c>
      <c r="I173" s="170"/>
      <c r="J173" s="170"/>
      <c r="K173" s="170"/>
      <c r="L173" s="348" t="str">
        <f>IF(Daten!$A$272=1,E173,IF(Daten!$A$273=1,F173,IF(Daten!$A$274=1,G173,IF(Daten!$A$275=1,Mietstufenzuordnung!H173,"nV"))))</f>
        <v>nV</v>
      </c>
    </row>
    <row r="174" spans="1:12" x14ac:dyDescent="0.25">
      <c r="A174" s="174">
        <v>170</v>
      </c>
      <c r="B174" s="172" t="s">
        <v>331</v>
      </c>
      <c r="C174" s="173" t="s">
        <v>332</v>
      </c>
      <c r="D174" s="169" t="s">
        <v>333</v>
      </c>
      <c r="E174" s="170">
        <v>6</v>
      </c>
      <c r="F174" s="170">
        <v>1</v>
      </c>
      <c r="G174" s="170">
        <v>1</v>
      </c>
      <c r="H174" s="170">
        <v>5</v>
      </c>
      <c r="I174" s="170"/>
      <c r="J174" s="170"/>
      <c r="K174" s="170"/>
      <c r="L174" s="348" t="str">
        <f>IF(Daten!$A$272=1,E174,IF(Daten!$A$273=1,F174,IF(Daten!$A$274=1,G174,IF(Daten!$A$275=1,Mietstufenzuordnung!H174,"nV"))))</f>
        <v>nV</v>
      </c>
    </row>
    <row r="175" spans="1:12" x14ac:dyDescent="0.25">
      <c r="A175" s="539">
        <v>171</v>
      </c>
      <c r="B175" t="s">
        <v>1364</v>
      </c>
      <c r="C175" t="s">
        <v>1363</v>
      </c>
      <c r="D175" t="s">
        <v>333</v>
      </c>
      <c r="E175" s="538">
        <v>2</v>
      </c>
      <c r="F175" s="538">
        <v>2</v>
      </c>
      <c r="G175" s="538">
        <v>3</v>
      </c>
      <c r="H175" s="538">
        <v>2</v>
      </c>
      <c r="L175" s="348" t="str">
        <f>IF(Daten!$A$272=1,E175,IF(Daten!$A$273=1,F175,IF(Daten!$A$274=1,G175,IF(Daten!$A$275=1,Mietstufenzuordnung!H175,"nV"))))</f>
        <v>nV</v>
      </c>
    </row>
    <row r="176" spans="1:12" x14ac:dyDescent="0.25">
      <c r="A176" s="539">
        <v>172</v>
      </c>
      <c r="B176" t="s">
        <v>1365</v>
      </c>
      <c r="C176" t="s">
        <v>1362</v>
      </c>
      <c r="D176" t="s">
        <v>333</v>
      </c>
      <c r="E176" s="538">
        <v>2</v>
      </c>
      <c r="F176" s="538">
        <v>3</v>
      </c>
      <c r="G176" s="538">
        <v>3</v>
      </c>
      <c r="H176" s="538">
        <v>2</v>
      </c>
      <c r="L176" s="348" t="str">
        <f>IF(Daten!$A$272=1,E176,IF(Daten!$A$273=1,F176,IF(Daten!$A$274=1,G176,IF(Daten!$A$275=1,Mietstufenzuordnung!H176,"nV"))))</f>
        <v>nV</v>
      </c>
    </row>
  </sheetData>
  <sheetProtection sheet="1" selectLockedCells="1" selectUnlockedCells="1"/>
  <mergeCells count="1">
    <mergeCell ref="A1:L2"/>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EE744-A658-4716-9FCB-23538322E8A7}">
  <sheetPr>
    <tabColor rgb="FFFFC000"/>
  </sheetPr>
  <dimension ref="A1:B102"/>
  <sheetViews>
    <sheetView topLeftCell="A73" workbookViewId="0">
      <selection activeCell="B103" sqref="B103"/>
    </sheetView>
  </sheetViews>
  <sheetFormatPr baseColWidth="10" defaultRowHeight="15" x14ac:dyDescent="0.25"/>
  <cols>
    <col min="1" max="1" width="54.28515625" customWidth="1"/>
  </cols>
  <sheetData>
    <row r="1" spans="1:2" x14ac:dyDescent="0.25">
      <c r="A1" t="str">
        <f>IF(Daten!B14=17,"Bitte Straße auswählen:","")</f>
        <v/>
      </c>
    </row>
    <row r="3" spans="1:2" x14ac:dyDescent="0.25">
      <c r="A3" s="531" t="s">
        <v>1180</v>
      </c>
      <c r="B3">
        <v>1</v>
      </c>
    </row>
    <row r="4" spans="1:2" x14ac:dyDescent="0.25">
      <c r="A4" s="531" t="s">
        <v>1181</v>
      </c>
      <c r="B4">
        <v>1</v>
      </c>
    </row>
    <row r="5" spans="1:2" x14ac:dyDescent="0.25">
      <c r="A5" s="531" t="s">
        <v>1182</v>
      </c>
      <c r="B5">
        <v>1</v>
      </c>
    </row>
    <row r="6" spans="1:2" x14ac:dyDescent="0.25">
      <c r="A6" s="531" t="s">
        <v>1183</v>
      </c>
      <c r="B6">
        <v>1</v>
      </c>
    </row>
    <row r="7" spans="1:2" x14ac:dyDescent="0.25">
      <c r="A7" s="531" t="s">
        <v>1184</v>
      </c>
      <c r="B7">
        <v>1</v>
      </c>
    </row>
    <row r="8" spans="1:2" x14ac:dyDescent="0.25">
      <c r="A8" s="531" t="s">
        <v>1185</v>
      </c>
      <c r="B8">
        <v>1</v>
      </c>
    </row>
    <row r="9" spans="1:2" x14ac:dyDescent="0.25">
      <c r="A9" s="531" t="s">
        <v>1186</v>
      </c>
      <c r="B9">
        <v>1</v>
      </c>
    </row>
    <row r="10" spans="1:2" x14ac:dyDescent="0.25">
      <c r="A10" s="531" t="s">
        <v>1187</v>
      </c>
      <c r="B10">
        <v>1</v>
      </c>
    </row>
    <row r="11" spans="1:2" x14ac:dyDescent="0.25">
      <c r="A11" s="531" t="s">
        <v>1188</v>
      </c>
      <c r="B11">
        <v>1</v>
      </c>
    </row>
    <row r="12" spans="1:2" x14ac:dyDescent="0.25">
      <c r="A12" s="531" t="s">
        <v>1189</v>
      </c>
      <c r="B12">
        <v>1</v>
      </c>
    </row>
    <row r="13" spans="1:2" x14ac:dyDescent="0.25">
      <c r="A13" s="531" t="s">
        <v>1190</v>
      </c>
      <c r="B13">
        <v>1</v>
      </c>
    </row>
    <row r="14" spans="1:2" x14ac:dyDescent="0.25">
      <c r="A14" s="531" t="s">
        <v>1191</v>
      </c>
      <c r="B14">
        <v>1</v>
      </c>
    </row>
    <row r="15" spans="1:2" x14ac:dyDescent="0.25">
      <c r="A15" s="531" t="s">
        <v>1192</v>
      </c>
      <c r="B15">
        <v>1</v>
      </c>
    </row>
    <row r="16" spans="1:2" x14ac:dyDescent="0.25">
      <c r="A16" s="531" t="s">
        <v>1193</v>
      </c>
      <c r="B16">
        <v>1</v>
      </c>
    </row>
    <row r="17" spans="1:2" x14ac:dyDescent="0.25">
      <c r="A17" s="531" t="s">
        <v>1194</v>
      </c>
      <c r="B17">
        <v>1</v>
      </c>
    </row>
    <row r="18" spans="1:2" x14ac:dyDescent="0.25">
      <c r="A18" s="531" t="s">
        <v>1195</v>
      </c>
      <c r="B18">
        <v>1</v>
      </c>
    </row>
    <row r="19" spans="1:2" x14ac:dyDescent="0.25">
      <c r="A19" s="531" t="s">
        <v>1196</v>
      </c>
      <c r="B19">
        <v>1</v>
      </c>
    </row>
    <row r="20" spans="1:2" x14ac:dyDescent="0.25">
      <c r="A20" s="531" t="s">
        <v>1197</v>
      </c>
      <c r="B20">
        <v>1</v>
      </c>
    </row>
    <row r="21" spans="1:2" x14ac:dyDescent="0.25">
      <c r="A21" s="531" t="s">
        <v>1198</v>
      </c>
      <c r="B21">
        <v>1</v>
      </c>
    </row>
    <row r="22" spans="1:2" x14ac:dyDescent="0.25">
      <c r="A22" s="531" t="s">
        <v>1199</v>
      </c>
      <c r="B22">
        <v>1</v>
      </c>
    </row>
    <row r="23" spans="1:2" x14ac:dyDescent="0.25">
      <c r="A23" s="531" t="s">
        <v>1200</v>
      </c>
      <c r="B23">
        <v>1</v>
      </c>
    </row>
    <row r="24" spans="1:2" x14ac:dyDescent="0.25">
      <c r="A24" s="531" t="s">
        <v>1201</v>
      </c>
      <c r="B24">
        <v>1</v>
      </c>
    </row>
    <row r="25" spans="1:2" x14ac:dyDescent="0.25">
      <c r="A25" s="531" t="s">
        <v>1202</v>
      </c>
      <c r="B25">
        <v>1</v>
      </c>
    </row>
    <row r="26" spans="1:2" x14ac:dyDescent="0.25">
      <c r="A26" s="531" t="s">
        <v>1203</v>
      </c>
      <c r="B26">
        <v>1</v>
      </c>
    </row>
    <row r="27" spans="1:2" x14ac:dyDescent="0.25">
      <c r="A27" s="531" t="s">
        <v>1204</v>
      </c>
      <c r="B27">
        <v>1</v>
      </c>
    </row>
    <row r="28" spans="1:2" x14ac:dyDescent="0.25">
      <c r="A28" s="531" t="s">
        <v>1205</v>
      </c>
      <c r="B28">
        <v>1</v>
      </c>
    </row>
    <row r="29" spans="1:2" x14ac:dyDescent="0.25">
      <c r="A29" s="531" t="s">
        <v>1206</v>
      </c>
      <c r="B29">
        <v>1</v>
      </c>
    </row>
    <row r="30" spans="1:2" x14ac:dyDescent="0.25">
      <c r="A30" s="531" t="s">
        <v>1207</v>
      </c>
      <c r="B30">
        <v>1</v>
      </c>
    </row>
    <row r="31" spans="1:2" x14ac:dyDescent="0.25">
      <c r="A31" s="531" t="s">
        <v>1208</v>
      </c>
      <c r="B31">
        <v>1</v>
      </c>
    </row>
    <row r="32" spans="1:2" x14ac:dyDescent="0.25">
      <c r="A32" s="531" t="s">
        <v>1209</v>
      </c>
      <c r="B32">
        <v>1</v>
      </c>
    </row>
    <row r="33" spans="1:2" x14ac:dyDescent="0.25">
      <c r="A33" s="531" t="s">
        <v>1210</v>
      </c>
      <c r="B33">
        <v>1</v>
      </c>
    </row>
    <row r="34" spans="1:2" x14ac:dyDescent="0.25">
      <c r="A34" s="531" t="s">
        <v>1211</v>
      </c>
      <c r="B34">
        <v>1</v>
      </c>
    </row>
    <row r="35" spans="1:2" x14ac:dyDescent="0.25">
      <c r="A35" s="531" t="s">
        <v>1212</v>
      </c>
      <c r="B35">
        <v>1</v>
      </c>
    </row>
    <row r="36" spans="1:2" x14ac:dyDescent="0.25">
      <c r="A36" s="531" t="s">
        <v>1213</v>
      </c>
      <c r="B36">
        <v>1</v>
      </c>
    </row>
    <row r="37" spans="1:2" x14ac:dyDescent="0.25">
      <c r="A37" s="531" t="s">
        <v>1214</v>
      </c>
      <c r="B37">
        <v>1</v>
      </c>
    </row>
    <row r="38" spans="1:2" x14ac:dyDescent="0.25">
      <c r="A38" s="531" t="s">
        <v>1215</v>
      </c>
      <c r="B38">
        <v>1</v>
      </c>
    </row>
    <row r="39" spans="1:2" x14ac:dyDescent="0.25">
      <c r="A39" s="531" t="s">
        <v>1216</v>
      </c>
      <c r="B39">
        <v>1</v>
      </c>
    </row>
    <row r="40" spans="1:2" x14ac:dyDescent="0.25">
      <c r="A40" s="531" t="s">
        <v>1217</v>
      </c>
      <c r="B40">
        <v>1</v>
      </c>
    </row>
    <row r="41" spans="1:2" x14ac:dyDescent="0.25">
      <c r="A41" s="531" t="s">
        <v>1218</v>
      </c>
      <c r="B41">
        <v>1</v>
      </c>
    </row>
    <row r="42" spans="1:2" x14ac:dyDescent="0.25">
      <c r="A42" s="531" t="s">
        <v>1219</v>
      </c>
      <c r="B42">
        <v>1</v>
      </c>
    </row>
    <row r="43" spans="1:2" x14ac:dyDescent="0.25">
      <c r="A43" s="531" t="s">
        <v>1220</v>
      </c>
      <c r="B43">
        <v>1</v>
      </c>
    </row>
    <row r="44" spans="1:2" x14ac:dyDescent="0.25">
      <c r="A44" s="531" t="s">
        <v>1221</v>
      </c>
      <c r="B44">
        <v>1</v>
      </c>
    </row>
    <row r="45" spans="1:2" x14ac:dyDescent="0.25">
      <c r="A45" s="531" t="s">
        <v>1222</v>
      </c>
      <c r="B45">
        <v>1</v>
      </c>
    </row>
    <row r="46" spans="1:2" x14ac:dyDescent="0.25">
      <c r="A46" s="531" t="s">
        <v>1223</v>
      </c>
      <c r="B46">
        <v>1</v>
      </c>
    </row>
    <row r="47" spans="1:2" x14ac:dyDescent="0.25">
      <c r="A47" s="531" t="s">
        <v>1224</v>
      </c>
      <c r="B47">
        <v>1</v>
      </c>
    </row>
    <row r="48" spans="1:2" x14ac:dyDescent="0.25">
      <c r="A48" s="531" t="s">
        <v>1225</v>
      </c>
      <c r="B48">
        <v>1</v>
      </c>
    </row>
    <row r="49" spans="1:2" x14ac:dyDescent="0.25">
      <c r="A49" s="531" t="s">
        <v>1226</v>
      </c>
      <c r="B49">
        <v>1</v>
      </c>
    </row>
    <row r="50" spans="1:2" x14ac:dyDescent="0.25">
      <c r="A50" s="531" t="s">
        <v>1227</v>
      </c>
      <c r="B50">
        <v>1</v>
      </c>
    </row>
    <row r="51" spans="1:2" x14ac:dyDescent="0.25">
      <c r="A51" s="531" t="s">
        <v>1228</v>
      </c>
      <c r="B51">
        <v>1</v>
      </c>
    </row>
    <row r="52" spans="1:2" x14ac:dyDescent="0.25">
      <c r="A52" s="531" t="s">
        <v>1229</v>
      </c>
      <c r="B52">
        <v>1</v>
      </c>
    </row>
    <row r="53" spans="1:2" x14ac:dyDescent="0.25">
      <c r="A53" s="531" t="s">
        <v>1230</v>
      </c>
      <c r="B53">
        <v>1</v>
      </c>
    </row>
    <row r="54" spans="1:2" x14ac:dyDescent="0.25">
      <c r="A54" s="531" t="s">
        <v>1231</v>
      </c>
      <c r="B54">
        <v>1</v>
      </c>
    </row>
    <row r="55" spans="1:2" x14ac:dyDescent="0.25">
      <c r="A55" s="531" t="s">
        <v>1232</v>
      </c>
      <c r="B55">
        <v>1</v>
      </c>
    </row>
    <row r="56" spans="1:2" x14ac:dyDescent="0.25">
      <c r="A56" s="531" t="s">
        <v>1233</v>
      </c>
      <c r="B56">
        <v>1</v>
      </c>
    </row>
    <row r="57" spans="1:2" x14ac:dyDescent="0.25">
      <c r="A57" s="531" t="s">
        <v>1234</v>
      </c>
      <c r="B57">
        <v>1</v>
      </c>
    </row>
    <row r="58" spans="1:2" x14ac:dyDescent="0.25">
      <c r="A58" s="531" t="s">
        <v>1235</v>
      </c>
      <c r="B58">
        <v>1</v>
      </c>
    </row>
    <row r="59" spans="1:2" x14ac:dyDescent="0.25">
      <c r="A59" s="531" t="s">
        <v>1236</v>
      </c>
      <c r="B59">
        <v>1</v>
      </c>
    </row>
    <row r="60" spans="1:2" x14ac:dyDescent="0.25">
      <c r="A60" s="531" t="s">
        <v>1237</v>
      </c>
      <c r="B60">
        <v>1</v>
      </c>
    </row>
    <row r="61" spans="1:2" x14ac:dyDescent="0.25">
      <c r="A61" s="531" t="s">
        <v>1238</v>
      </c>
      <c r="B61">
        <v>1</v>
      </c>
    </row>
    <row r="62" spans="1:2" x14ac:dyDescent="0.25">
      <c r="A62" s="531" t="s">
        <v>1239</v>
      </c>
      <c r="B62">
        <v>1</v>
      </c>
    </row>
    <row r="63" spans="1:2" x14ac:dyDescent="0.25">
      <c r="A63" s="531" t="s">
        <v>1240</v>
      </c>
      <c r="B63">
        <v>1</v>
      </c>
    </row>
    <row r="64" spans="1:2" x14ac:dyDescent="0.25">
      <c r="A64" s="531" t="s">
        <v>1241</v>
      </c>
      <c r="B64">
        <v>1</v>
      </c>
    </row>
    <row r="65" spans="1:2" x14ac:dyDescent="0.25">
      <c r="A65" s="531" t="s">
        <v>1242</v>
      </c>
      <c r="B65">
        <v>1</v>
      </c>
    </row>
    <row r="66" spans="1:2" x14ac:dyDescent="0.25">
      <c r="A66" s="531" t="s">
        <v>1243</v>
      </c>
      <c r="B66">
        <v>1</v>
      </c>
    </row>
    <row r="67" spans="1:2" x14ac:dyDescent="0.25">
      <c r="A67" s="531" t="s">
        <v>1244</v>
      </c>
      <c r="B67">
        <v>1</v>
      </c>
    </row>
    <row r="68" spans="1:2" x14ac:dyDescent="0.25">
      <c r="A68" s="531" t="s">
        <v>1245</v>
      </c>
      <c r="B68">
        <v>1</v>
      </c>
    </row>
    <row r="69" spans="1:2" x14ac:dyDescent="0.25">
      <c r="A69" s="531" t="s">
        <v>1246</v>
      </c>
      <c r="B69">
        <v>1</v>
      </c>
    </row>
    <row r="70" spans="1:2" x14ac:dyDescent="0.25">
      <c r="A70" s="531" t="s">
        <v>1247</v>
      </c>
      <c r="B70">
        <v>1</v>
      </c>
    </row>
    <row r="71" spans="1:2" x14ac:dyDescent="0.25">
      <c r="A71" s="531" t="s">
        <v>1248</v>
      </c>
      <c r="B71">
        <v>1</v>
      </c>
    </row>
    <row r="72" spans="1:2" x14ac:dyDescent="0.25">
      <c r="A72" s="531" t="s">
        <v>1249</v>
      </c>
      <c r="B72">
        <v>1</v>
      </c>
    </row>
    <row r="73" spans="1:2" x14ac:dyDescent="0.25">
      <c r="A73" s="531" t="s">
        <v>1250</v>
      </c>
      <c r="B73">
        <v>1</v>
      </c>
    </row>
    <row r="74" spans="1:2" x14ac:dyDescent="0.25">
      <c r="A74" s="531" t="s">
        <v>1251</v>
      </c>
      <c r="B74">
        <v>1</v>
      </c>
    </row>
    <row r="75" spans="1:2" x14ac:dyDescent="0.25">
      <c r="A75" s="531" t="s">
        <v>1252</v>
      </c>
      <c r="B75">
        <v>1</v>
      </c>
    </row>
    <row r="76" spans="1:2" x14ac:dyDescent="0.25">
      <c r="A76" s="531" t="s">
        <v>1253</v>
      </c>
      <c r="B76">
        <v>1</v>
      </c>
    </row>
    <row r="77" spans="1:2" x14ac:dyDescent="0.25">
      <c r="A77" s="531" t="s">
        <v>1254</v>
      </c>
      <c r="B77">
        <v>1</v>
      </c>
    </row>
    <row r="78" spans="1:2" x14ac:dyDescent="0.25">
      <c r="A78" s="531" t="s">
        <v>1255</v>
      </c>
      <c r="B78">
        <v>1</v>
      </c>
    </row>
    <row r="79" spans="1:2" x14ac:dyDescent="0.25">
      <c r="A79" s="531" t="s">
        <v>1256</v>
      </c>
      <c r="B79">
        <v>1</v>
      </c>
    </row>
    <row r="80" spans="1:2" x14ac:dyDescent="0.25">
      <c r="A80" s="531" t="s">
        <v>1257</v>
      </c>
      <c r="B80">
        <v>1</v>
      </c>
    </row>
    <row r="81" spans="1:2" x14ac:dyDescent="0.25">
      <c r="A81" s="531" t="s">
        <v>1258</v>
      </c>
      <c r="B81">
        <v>1</v>
      </c>
    </row>
    <row r="82" spans="1:2" x14ac:dyDescent="0.25">
      <c r="A82" s="531" t="s">
        <v>1259</v>
      </c>
      <c r="B82">
        <v>1</v>
      </c>
    </row>
    <row r="83" spans="1:2" x14ac:dyDescent="0.25">
      <c r="A83" s="531" t="s">
        <v>1260</v>
      </c>
      <c r="B83">
        <v>1</v>
      </c>
    </row>
    <row r="84" spans="1:2" x14ac:dyDescent="0.25">
      <c r="A84" s="531" t="s">
        <v>1261</v>
      </c>
      <c r="B84">
        <v>1</v>
      </c>
    </row>
    <row r="85" spans="1:2" x14ac:dyDescent="0.25">
      <c r="A85" s="531" t="s">
        <v>1262</v>
      </c>
      <c r="B85">
        <v>1</v>
      </c>
    </row>
    <row r="86" spans="1:2" x14ac:dyDescent="0.25">
      <c r="A86" s="531" t="s">
        <v>1263</v>
      </c>
      <c r="B86">
        <v>1</v>
      </c>
    </row>
    <row r="87" spans="1:2" x14ac:dyDescent="0.25">
      <c r="A87" s="531" t="s">
        <v>1264</v>
      </c>
      <c r="B87">
        <v>1</v>
      </c>
    </row>
    <row r="88" spans="1:2" x14ac:dyDescent="0.25">
      <c r="A88" s="531" t="s">
        <v>1265</v>
      </c>
      <c r="B88">
        <v>1</v>
      </c>
    </row>
    <row r="89" spans="1:2" x14ac:dyDescent="0.25">
      <c r="A89" s="531" t="s">
        <v>1266</v>
      </c>
      <c r="B89">
        <v>1</v>
      </c>
    </row>
    <row r="90" spans="1:2" x14ac:dyDescent="0.25">
      <c r="A90" s="531" t="s">
        <v>1267</v>
      </c>
      <c r="B90">
        <v>1</v>
      </c>
    </row>
    <row r="91" spans="1:2" x14ac:dyDescent="0.25">
      <c r="A91" s="531" t="s">
        <v>1268</v>
      </c>
      <c r="B91">
        <v>1</v>
      </c>
    </row>
    <row r="92" spans="1:2" x14ac:dyDescent="0.25">
      <c r="A92" s="531" t="s">
        <v>1269</v>
      </c>
      <c r="B92">
        <v>1</v>
      </c>
    </row>
    <row r="93" spans="1:2" x14ac:dyDescent="0.25">
      <c r="A93" s="531" t="s">
        <v>1270</v>
      </c>
      <c r="B93">
        <v>1</v>
      </c>
    </row>
    <row r="94" spans="1:2" x14ac:dyDescent="0.25">
      <c r="A94" s="531" t="s">
        <v>1271</v>
      </c>
      <c r="B94">
        <v>1</v>
      </c>
    </row>
    <row r="95" spans="1:2" x14ac:dyDescent="0.25">
      <c r="A95" s="531" t="s">
        <v>1272</v>
      </c>
      <c r="B95">
        <v>1</v>
      </c>
    </row>
    <row r="96" spans="1:2" x14ac:dyDescent="0.25">
      <c r="A96" s="531" t="s">
        <v>1273</v>
      </c>
      <c r="B96">
        <v>1</v>
      </c>
    </row>
    <row r="97" spans="1:2" x14ac:dyDescent="0.25">
      <c r="A97" s="531" t="s">
        <v>1274</v>
      </c>
      <c r="B97">
        <v>1</v>
      </c>
    </row>
    <row r="98" spans="1:2" x14ac:dyDescent="0.25">
      <c r="A98" s="531" t="s">
        <v>1275</v>
      </c>
      <c r="B98">
        <v>1</v>
      </c>
    </row>
    <row r="99" spans="1:2" x14ac:dyDescent="0.25">
      <c r="A99" s="531" t="s">
        <v>1276</v>
      </c>
      <c r="B99">
        <v>1</v>
      </c>
    </row>
    <row r="100" spans="1:2" x14ac:dyDescent="0.25">
      <c r="A100" s="531" t="s">
        <v>1277</v>
      </c>
      <c r="B100">
        <v>1</v>
      </c>
    </row>
    <row r="101" spans="1:2" x14ac:dyDescent="0.25">
      <c r="A101" s="531" t="s">
        <v>1278</v>
      </c>
      <c r="B101">
        <v>1</v>
      </c>
    </row>
    <row r="102" spans="1:2" x14ac:dyDescent="0.25">
      <c r="A102" s="532" t="s">
        <v>1355</v>
      </c>
      <c r="B102">
        <v>2</v>
      </c>
    </row>
  </sheetData>
  <sheetProtection sheet="1" objects="1" scenarios="1" selectLockedCells="1" selectUnlockedCells="1"/>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DB4C6-993D-4CCA-85F2-1A001E5A2444}">
  <dimension ref="A1:B77"/>
  <sheetViews>
    <sheetView workbookViewId="0">
      <selection activeCell="A2" sqref="A2"/>
    </sheetView>
  </sheetViews>
  <sheetFormatPr baseColWidth="10" defaultRowHeight="15" x14ac:dyDescent="0.25"/>
  <cols>
    <col min="1" max="1" width="47.5703125" customWidth="1"/>
  </cols>
  <sheetData>
    <row r="1" spans="1:2" x14ac:dyDescent="0.25">
      <c r="A1" t="str">
        <f>IF(Daten!B14=104,"Bitte Straße auswählen:","")</f>
        <v/>
      </c>
    </row>
    <row r="3" spans="1:2" x14ac:dyDescent="0.25">
      <c r="A3" s="533" t="s">
        <v>1279</v>
      </c>
      <c r="B3">
        <v>1</v>
      </c>
    </row>
    <row r="4" spans="1:2" x14ac:dyDescent="0.25">
      <c r="A4" s="533" t="s">
        <v>1280</v>
      </c>
      <c r="B4">
        <v>1</v>
      </c>
    </row>
    <row r="5" spans="1:2" x14ac:dyDescent="0.25">
      <c r="A5" s="533" t="s">
        <v>1281</v>
      </c>
      <c r="B5">
        <v>1</v>
      </c>
    </row>
    <row r="6" spans="1:2" x14ac:dyDescent="0.25">
      <c r="A6" s="533" t="s">
        <v>1282</v>
      </c>
      <c r="B6">
        <v>1</v>
      </c>
    </row>
    <row r="7" spans="1:2" x14ac:dyDescent="0.25">
      <c r="A7" s="533" t="s">
        <v>1283</v>
      </c>
      <c r="B7">
        <v>1</v>
      </c>
    </row>
    <row r="8" spans="1:2" x14ac:dyDescent="0.25">
      <c r="A8" s="533" t="s">
        <v>1284</v>
      </c>
      <c r="B8">
        <v>1</v>
      </c>
    </row>
    <row r="9" spans="1:2" x14ac:dyDescent="0.25">
      <c r="A9" s="533" t="s">
        <v>1285</v>
      </c>
      <c r="B9">
        <v>1</v>
      </c>
    </row>
    <row r="10" spans="1:2" x14ac:dyDescent="0.25">
      <c r="A10" s="533" t="s">
        <v>1286</v>
      </c>
      <c r="B10">
        <v>1</v>
      </c>
    </row>
    <row r="11" spans="1:2" x14ac:dyDescent="0.25">
      <c r="A11" s="533" t="s">
        <v>1287</v>
      </c>
      <c r="B11">
        <v>1</v>
      </c>
    </row>
    <row r="12" spans="1:2" x14ac:dyDescent="0.25">
      <c r="A12" s="533" t="s">
        <v>1288</v>
      </c>
      <c r="B12">
        <v>1</v>
      </c>
    </row>
    <row r="13" spans="1:2" x14ac:dyDescent="0.25">
      <c r="A13" s="533" t="s">
        <v>1289</v>
      </c>
      <c r="B13">
        <v>1</v>
      </c>
    </row>
    <row r="14" spans="1:2" x14ac:dyDescent="0.25">
      <c r="A14" s="533" t="s">
        <v>1290</v>
      </c>
      <c r="B14">
        <v>1</v>
      </c>
    </row>
    <row r="15" spans="1:2" x14ac:dyDescent="0.25">
      <c r="A15" s="533" t="s">
        <v>1291</v>
      </c>
      <c r="B15">
        <v>1</v>
      </c>
    </row>
    <row r="16" spans="1:2" x14ac:dyDescent="0.25">
      <c r="A16" s="533" t="s">
        <v>1292</v>
      </c>
      <c r="B16">
        <v>1</v>
      </c>
    </row>
    <row r="17" spans="1:2" x14ac:dyDescent="0.25">
      <c r="A17" s="533" t="s">
        <v>1293</v>
      </c>
      <c r="B17">
        <v>1</v>
      </c>
    </row>
    <row r="18" spans="1:2" x14ac:dyDescent="0.25">
      <c r="A18" s="533" t="s">
        <v>1294</v>
      </c>
      <c r="B18">
        <v>1</v>
      </c>
    </row>
    <row r="19" spans="1:2" x14ac:dyDescent="0.25">
      <c r="A19" s="533" t="s">
        <v>1295</v>
      </c>
      <c r="B19">
        <v>1</v>
      </c>
    </row>
    <row r="20" spans="1:2" x14ac:dyDescent="0.25">
      <c r="A20" s="533" t="s">
        <v>1296</v>
      </c>
      <c r="B20">
        <v>1</v>
      </c>
    </row>
    <row r="21" spans="1:2" x14ac:dyDescent="0.25">
      <c r="A21" s="533" t="s">
        <v>1297</v>
      </c>
      <c r="B21">
        <v>1</v>
      </c>
    </row>
    <row r="22" spans="1:2" x14ac:dyDescent="0.25">
      <c r="A22" s="533" t="s">
        <v>1212</v>
      </c>
      <c r="B22">
        <v>1</v>
      </c>
    </row>
    <row r="23" spans="1:2" x14ac:dyDescent="0.25">
      <c r="A23" s="533" t="s">
        <v>1298</v>
      </c>
      <c r="B23">
        <v>1</v>
      </c>
    </row>
    <row r="24" spans="1:2" x14ac:dyDescent="0.25">
      <c r="A24" s="533" t="s">
        <v>1299</v>
      </c>
      <c r="B24">
        <v>1</v>
      </c>
    </row>
    <row r="25" spans="1:2" x14ac:dyDescent="0.25">
      <c r="A25" s="533" t="s">
        <v>1300</v>
      </c>
      <c r="B25">
        <v>1</v>
      </c>
    </row>
    <row r="26" spans="1:2" x14ac:dyDescent="0.25">
      <c r="A26" s="533" t="s">
        <v>1301</v>
      </c>
      <c r="B26">
        <v>1</v>
      </c>
    </row>
    <row r="27" spans="1:2" x14ac:dyDescent="0.25">
      <c r="A27" s="533" t="s">
        <v>1302</v>
      </c>
      <c r="B27">
        <v>1</v>
      </c>
    </row>
    <row r="28" spans="1:2" x14ac:dyDescent="0.25">
      <c r="A28" s="533" t="s">
        <v>1303</v>
      </c>
      <c r="B28">
        <v>1</v>
      </c>
    </row>
    <row r="29" spans="1:2" x14ac:dyDescent="0.25">
      <c r="A29" s="533" t="s">
        <v>1304</v>
      </c>
      <c r="B29">
        <v>1</v>
      </c>
    </row>
    <row r="30" spans="1:2" x14ac:dyDescent="0.25">
      <c r="A30" s="533" t="s">
        <v>1224</v>
      </c>
      <c r="B30">
        <v>1</v>
      </c>
    </row>
    <row r="31" spans="1:2" x14ac:dyDescent="0.25">
      <c r="A31" s="533" t="s">
        <v>1305</v>
      </c>
      <c r="B31">
        <v>1</v>
      </c>
    </row>
    <row r="32" spans="1:2" x14ac:dyDescent="0.25">
      <c r="A32" s="533" t="s">
        <v>1306</v>
      </c>
      <c r="B32">
        <v>1</v>
      </c>
    </row>
    <row r="33" spans="1:2" x14ac:dyDescent="0.25">
      <c r="A33" s="533" t="s">
        <v>1307</v>
      </c>
      <c r="B33">
        <v>1</v>
      </c>
    </row>
    <row r="34" spans="1:2" x14ac:dyDescent="0.25">
      <c r="A34" s="533" t="s">
        <v>1308</v>
      </c>
      <c r="B34">
        <v>1</v>
      </c>
    </row>
    <row r="35" spans="1:2" x14ac:dyDescent="0.25">
      <c r="A35" s="533" t="s">
        <v>1309</v>
      </c>
      <c r="B35">
        <v>1</v>
      </c>
    </row>
    <row r="36" spans="1:2" x14ac:dyDescent="0.25">
      <c r="A36" s="533" t="s">
        <v>1310</v>
      </c>
      <c r="B36">
        <v>1</v>
      </c>
    </row>
    <row r="37" spans="1:2" x14ac:dyDescent="0.25">
      <c r="A37" s="533" t="s">
        <v>1311</v>
      </c>
      <c r="B37">
        <v>1</v>
      </c>
    </row>
    <row r="38" spans="1:2" x14ac:dyDescent="0.25">
      <c r="A38" s="533" t="s">
        <v>1312</v>
      </c>
      <c r="B38">
        <v>1</v>
      </c>
    </row>
    <row r="39" spans="1:2" x14ac:dyDescent="0.25">
      <c r="A39" s="533" t="s">
        <v>1227</v>
      </c>
      <c r="B39">
        <v>1</v>
      </c>
    </row>
    <row r="40" spans="1:2" x14ac:dyDescent="0.25">
      <c r="A40" s="533" t="s">
        <v>1313</v>
      </c>
      <c r="B40">
        <v>1</v>
      </c>
    </row>
    <row r="41" spans="1:2" x14ac:dyDescent="0.25">
      <c r="A41" s="533" t="s">
        <v>1235</v>
      </c>
      <c r="B41">
        <v>1</v>
      </c>
    </row>
    <row r="42" spans="1:2" x14ac:dyDescent="0.25">
      <c r="A42" s="533" t="s">
        <v>1314</v>
      </c>
      <c r="B42">
        <v>1</v>
      </c>
    </row>
    <row r="43" spans="1:2" x14ac:dyDescent="0.25">
      <c r="A43" s="533" t="s">
        <v>1315</v>
      </c>
      <c r="B43">
        <v>1</v>
      </c>
    </row>
    <row r="44" spans="1:2" x14ac:dyDescent="0.25">
      <c r="A44" s="533" t="s">
        <v>1316</v>
      </c>
      <c r="B44">
        <v>1</v>
      </c>
    </row>
    <row r="45" spans="1:2" x14ac:dyDescent="0.25">
      <c r="A45" s="533" t="s">
        <v>1317</v>
      </c>
      <c r="B45">
        <v>1</v>
      </c>
    </row>
    <row r="46" spans="1:2" x14ac:dyDescent="0.25">
      <c r="A46" s="533" t="s">
        <v>1318</v>
      </c>
      <c r="B46">
        <v>1</v>
      </c>
    </row>
    <row r="47" spans="1:2" x14ac:dyDescent="0.25">
      <c r="A47" s="533" t="s">
        <v>1319</v>
      </c>
      <c r="B47">
        <v>1</v>
      </c>
    </row>
    <row r="48" spans="1:2" x14ac:dyDescent="0.25">
      <c r="A48" s="533" t="s">
        <v>1320</v>
      </c>
      <c r="B48">
        <v>1</v>
      </c>
    </row>
    <row r="49" spans="1:2" x14ac:dyDescent="0.25">
      <c r="A49" s="533" t="s">
        <v>1321</v>
      </c>
      <c r="B49">
        <v>1</v>
      </c>
    </row>
    <row r="50" spans="1:2" x14ac:dyDescent="0.25">
      <c r="A50" s="533" t="s">
        <v>1322</v>
      </c>
      <c r="B50">
        <v>1</v>
      </c>
    </row>
    <row r="51" spans="1:2" x14ac:dyDescent="0.25">
      <c r="A51" s="533" t="s">
        <v>1323</v>
      </c>
      <c r="B51">
        <v>1</v>
      </c>
    </row>
    <row r="52" spans="1:2" x14ac:dyDescent="0.25">
      <c r="A52" s="533" t="s">
        <v>1324</v>
      </c>
      <c r="B52">
        <v>1</v>
      </c>
    </row>
    <row r="53" spans="1:2" x14ac:dyDescent="0.25">
      <c r="A53" s="533" t="s">
        <v>1325</v>
      </c>
      <c r="B53">
        <v>1</v>
      </c>
    </row>
    <row r="54" spans="1:2" x14ac:dyDescent="0.25">
      <c r="A54" s="533" t="s">
        <v>1326</v>
      </c>
      <c r="B54">
        <v>1</v>
      </c>
    </row>
    <row r="55" spans="1:2" x14ac:dyDescent="0.25">
      <c r="A55" s="533" t="s">
        <v>1327</v>
      </c>
      <c r="B55">
        <v>1</v>
      </c>
    </row>
    <row r="56" spans="1:2" x14ac:dyDescent="0.25">
      <c r="A56" s="533" t="s">
        <v>1328</v>
      </c>
      <c r="B56">
        <v>1</v>
      </c>
    </row>
    <row r="57" spans="1:2" x14ac:dyDescent="0.25">
      <c r="A57" s="533" t="s">
        <v>1329</v>
      </c>
      <c r="B57">
        <v>1</v>
      </c>
    </row>
    <row r="58" spans="1:2" x14ac:dyDescent="0.25">
      <c r="A58" s="533" t="s">
        <v>1330</v>
      </c>
      <c r="B58">
        <v>1</v>
      </c>
    </row>
    <row r="59" spans="1:2" x14ac:dyDescent="0.25">
      <c r="A59" s="533" t="s">
        <v>1331</v>
      </c>
      <c r="B59">
        <v>1</v>
      </c>
    </row>
    <row r="60" spans="1:2" x14ac:dyDescent="0.25">
      <c r="A60" s="533" t="s">
        <v>1332</v>
      </c>
      <c r="B60">
        <v>1</v>
      </c>
    </row>
    <row r="61" spans="1:2" x14ac:dyDescent="0.25">
      <c r="A61" s="533" t="s">
        <v>1333</v>
      </c>
      <c r="B61">
        <v>1</v>
      </c>
    </row>
    <row r="62" spans="1:2" x14ac:dyDescent="0.25">
      <c r="A62" s="533" t="s">
        <v>1334</v>
      </c>
      <c r="B62">
        <v>1</v>
      </c>
    </row>
    <row r="63" spans="1:2" x14ac:dyDescent="0.25">
      <c r="A63" s="533" t="s">
        <v>1335</v>
      </c>
      <c r="B63">
        <v>1</v>
      </c>
    </row>
    <row r="64" spans="1:2" x14ac:dyDescent="0.25">
      <c r="A64" s="533" t="s">
        <v>1336</v>
      </c>
      <c r="B64">
        <v>1</v>
      </c>
    </row>
    <row r="65" spans="1:2" x14ac:dyDescent="0.25">
      <c r="A65" s="533" t="s">
        <v>1337</v>
      </c>
      <c r="B65">
        <v>1</v>
      </c>
    </row>
    <row r="66" spans="1:2" x14ac:dyDescent="0.25">
      <c r="A66" s="533" t="s">
        <v>1338</v>
      </c>
      <c r="B66">
        <v>1</v>
      </c>
    </row>
    <row r="67" spans="1:2" x14ac:dyDescent="0.25">
      <c r="A67" s="533" t="s">
        <v>1339</v>
      </c>
      <c r="B67">
        <v>1</v>
      </c>
    </row>
    <row r="68" spans="1:2" x14ac:dyDescent="0.25">
      <c r="A68" s="533" t="s">
        <v>1340</v>
      </c>
      <c r="B68">
        <v>1</v>
      </c>
    </row>
    <row r="69" spans="1:2" x14ac:dyDescent="0.25">
      <c r="A69" s="533" t="s">
        <v>1341</v>
      </c>
      <c r="B69">
        <v>1</v>
      </c>
    </row>
    <row r="70" spans="1:2" x14ac:dyDescent="0.25">
      <c r="A70" s="533" t="s">
        <v>1342</v>
      </c>
      <c r="B70">
        <v>1</v>
      </c>
    </row>
    <row r="71" spans="1:2" x14ac:dyDescent="0.25">
      <c r="A71" s="533" t="s">
        <v>1343</v>
      </c>
      <c r="B71">
        <v>1</v>
      </c>
    </row>
    <row r="72" spans="1:2" x14ac:dyDescent="0.25">
      <c r="A72" s="533" t="s">
        <v>1344</v>
      </c>
      <c r="B72">
        <v>1</v>
      </c>
    </row>
    <row r="73" spans="1:2" x14ac:dyDescent="0.25">
      <c r="A73" s="533" t="s">
        <v>1345</v>
      </c>
      <c r="B73">
        <v>1</v>
      </c>
    </row>
    <row r="74" spans="1:2" x14ac:dyDescent="0.25">
      <c r="A74" s="533" t="s">
        <v>1346</v>
      </c>
      <c r="B74">
        <v>1</v>
      </c>
    </row>
    <row r="75" spans="1:2" x14ac:dyDescent="0.25">
      <c r="A75" s="533" t="s">
        <v>1347</v>
      </c>
      <c r="B75">
        <v>1</v>
      </c>
    </row>
    <row r="76" spans="1:2" x14ac:dyDescent="0.25">
      <c r="A76" s="533" t="s">
        <v>1348</v>
      </c>
      <c r="B76">
        <v>1</v>
      </c>
    </row>
    <row r="77" spans="1:2" x14ac:dyDescent="0.25">
      <c r="A77" s="534" t="s">
        <v>1349</v>
      </c>
      <c r="B77">
        <v>2</v>
      </c>
    </row>
  </sheetData>
  <sheetProtection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Ortsauswahl</vt:lpstr>
      <vt:lpstr>KdU-Berechnung</vt:lpstr>
      <vt:lpstr>Zusicherung</vt:lpstr>
      <vt:lpstr>HeizK in Karenzzeit</vt:lpstr>
      <vt:lpstr>KdU+HeizK außerhalb Karenzzeit</vt:lpstr>
      <vt:lpstr>Daten</vt:lpstr>
      <vt:lpstr>Mietstufenzuordnung</vt:lpstr>
      <vt:lpstr>Straßen Bovenden (Ort)</vt:lpstr>
      <vt:lpstr>Straßen Rosdorf (Ort)</vt:lpstr>
      <vt:lpstr>'HeizK in Karenzzeit'!Druckbereich</vt:lpstr>
      <vt:lpstr>'KdU+HeizK außerhalb Karenzzeit'!Druckbereich</vt:lpstr>
      <vt:lpstr>'KdU-Berechnung'!Druckbereich</vt:lpstr>
      <vt:lpstr>Zusicherung!Druckbereich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2024-10-25T09:25:56Z</dcterms:modified>
</cp:coreProperties>
</file>